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9 SEPTEMBER 2023 FS\OTHER QUARTERLY REPORTS\"/>
    </mc:Choice>
  </mc:AlternateContent>
  <bookViews>
    <workbookView xWindow="0" yWindow="0" windowWidth="28800" windowHeight="12135" firstSheet="1" activeTab="1"/>
  </bookViews>
  <sheets>
    <sheet name="summary" sheetId="2" state="hidden" r:id="rId1"/>
    <sheet name="FC1 SEPTEMBER" sheetId="7" r:id="rId2"/>
    <sheet name="WORKING PAPER FC1" sheetId="11" state="hidden" r:id="rId3"/>
    <sheet name="FC2" sheetId="3" state="hidden" r:id="rId4"/>
    <sheet name="FC 3 SEPTEMBER " sheetId="10" r:id="rId5"/>
    <sheet name="FC 4 SEPTEMBER" sheetId="4" r:id="rId6"/>
    <sheet name="FC 6 SEPTEMBER" sheetId="5" r:id="rId7"/>
    <sheet name=" FC 7 SEPTEMBER" sheetId="9" r:id="rId8"/>
    <sheet name=" FC 7 " sheetId="6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xlnm._FilterDatabase" localSheetId="1" hidden="1">'FC1 SEPTEMBER'!$A$17:$X$103</definedName>
    <definedName name="_xlnm._FilterDatabase" localSheetId="0" hidden="1">summary!$A$13:$D$88</definedName>
    <definedName name="_xlnm._FilterDatabase" localSheetId="2" hidden="1">'WORKING PAPER FC1'!$A$19:$C$19</definedName>
    <definedName name="ALL_CHECKDATE" localSheetId="7">#REF!</definedName>
    <definedName name="ALL_CHECKDATE" localSheetId="4">#REF!</definedName>
    <definedName name="ALL_CHECKDATE" localSheetId="3">#REF!</definedName>
    <definedName name="ALL_CHECKDATE">#REF!</definedName>
    <definedName name="ALL_CYCLE" localSheetId="7">#REF!</definedName>
    <definedName name="ALL_CYCLE" localSheetId="4">#REF!</definedName>
    <definedName name="ALL_CYCLE" localSheetId="3">#REF!</definedName>
    <definedName name="ALL_CYCLE">#REF!</definedName>
    <definedName name="ALL_DISBURSED" localSheetId="7">#REF!</definedName>
    <definedName name="ALL_DISBURSED" localSheetId="4">#REF!</definedName>
    <definedName name="ALL_DISBURSED" localSheetId="3">#REF!</definedName>
    <definedName name="ALL_DISBURSED">#REF!</definedName>
    <definedName name="ALL_eRFRS" localSheetId="7">#REF!</definedName>
    <definedName name="ALL_eRFRS" localSheetId="4">#REF!</definedName>
    <definedName name="ALL_eRFRS" localSheetId="3">#REF!</definedName>
    <definedName name="ALL_eRFRS">#REF!</definedName>
    <definedName name="ALL_GRANT" localSheetId="7">#REF!</definedName>
    <definedName name="ALL_GRANT" localSheetId="4">#REF!</definedName>
    <definedName name="ALL_GRANT" localSheetId="3">#REF!</definedName>
    <definedName name="ALL_GRANT">#REF!</definedName>
    <definedName name="ALL_GROUP" localSheetId="7">#REF!</definedName>
    <definedName name="ALL_GROUP" localSheetId="4">#REF!</definedName>
    <definedName name="ALL_GROUP" localSheetId="3">#REF!</definedName>
    <definedName name="ALL_GROUP">#REF!</definedName>
    <definedName name="ALL_LCC" localSheetId="7">#REF!</definedName>
    <definedName name="ALL_LCC" localSheetId="4">#REF!</definedName>
    <definedName name="ALL_LCC" localSheetId="3">#REF!</definedName>
    <definedName name="ALL_LCC">#REF!</definedName>
    <definedName name="ALL_OBLIGATED" localSheetId="7">#REF!</definedName>
    <definedName name="ALL_OBLIGATED" localSheetId="4">#REF!</definedName>
    <definedName name="ALL_OBLIGATED" localSheetId="3">#REF!</definedName>
    <definedName name="ALL_OBLIGATED">#REF!</definedName>
    <definedName name="ALL_RFR_AMOUNT" localSheetId="7">#REF!</definedName>
    <definedName name="ALL_RFR_AMOUNT" localSheetId="4">#REF!</definedName>
    <definedName name="ALL_RFR_AMOUNT" localSheetId="3">#REF!</definedName>
    <definedName name="ALL_RFR_AMOUNT">#REF!</definedName>
    <definedName name="ALL_STATUS" localSheetId="7">#REF!</definedName>
    <definedName name="ALL_STATUS" localSheetId="4">#REF!</definedName>
    <definedName name="ALL_STATUS" localSheetId="3">#REF!</definedName>
    <definedName name="ALL_STATUS">#REF!</definedName>
    <definedName name="ALL_TPC" localSheetId="7">#REF!</definedName>
    <definedName name="ALL_TPC" localSheetId="4">#REF!</definedName>
    <definedName name="ALL_TPC" localSheetId="3">#REF!</definedName>
    <definedName name="ALL_TPC">#REF!</definedName>
    <definedName name="ALL_TRANCHE" localSheetId="7">#REF!</definedName>
    <definedName name="ALL_TRANCHE" localSheetId="4">#REF!</definedName>
    <definedName name="ALL_TRANCHE" localSheetId="3">#REF!</definedName>
    <definedName name="ALL_TRANCHE">#REF!</definedName>
    <definedName name="ALL_YEAR" localSheetId="7">#REF!</definedName>
    <definedName name="ALL_YEAR" localSheetId="4">#REF!</definedName>
    <definedName name="ALL_YEAR" localSheetId="3">#REF!</definedName>
    <definedName name="ALL_YEAR">#REF!</definedName>
    <definedName name="ARMM" localSheetId="8">#REF!</definedName>
    <definedName name="ARMM" localSheetId="7">#REF!</definedName>
    <definedName name="ARMM" localSheetId="4">#REF!</definedName>
    <definedName name="ARMM" localSheetId="1">#REF!</definedName>
    <definedName name="ARMM" localSheetId="3">#REF!</definedName>
    <definedName name="ARMM">#REF!</definedName>
    <definedName name="CAR" localSheetId="8">#REF!</definedName>
    <definedName name="CAR" localSheetId="7">#REF!</definedName>
    <definedName name="CAR" localSheetId="4">#REF!</definedName>
    <definedName name="CAR" localSheetId="1">#REF!</definedName>
    <definedName name="CAR" localSheetId="3">#REF!</definedName>
    <definedName name="CAR">#REF!</definedName>
    <definedName name="CARAGA" localSheetId="8">#REF!</definedName>
    <definedName name="CARAGA" localSheetId="7">#REF!</definedName>
    <definedName name="CARAGA" localSheetId="4">#REF!</definedName>
    <definedName name="CARAGA" localSheetId="1">#REF!</definedName>
    <definedName name="CARAGA" localSheetId="3">#REF!</definedName>
    <definedName name="CARAGA">#REF!</definedName>
    <definedName name="cdo" localSheetId="8">#REF!</definedName>
    <definedName name="cdo" localSheetId="7">#REF!</definedName>
    <definedName name="cdo" localSheetId="4">#REF!</definedName>
    <definedName name="cdo" localSheetId="1">#REF!</definedName>
    <definedName name="cdo" localSheetId="3">#REF!</definedName>
    <definedName name="cdo">#REF!</definedName>
    <definedName name="CO" localSheetId="8">#REF!</definedName>
    <definedName name="CO" localSheetId="7">#REF!</definedName>
    <definedName name="CO" localSheetId="4">#REF!</definedName>
    <definedName name="CO" localSheetId="1">#REF!</definedName>
    <definedName name="CO" localSheetId="3">#REF!</definedName>
    <definedName name="CO">#REF!</definedName>
    <definedName name="CYCLE">[1]Reference!$G$2:$G$5</definedName>
    <definedName name="DOSE" localSheetId="8">#REF!</definedName>
    <definedName name="DOSE" localSheetId="7">#REF!</definedName>
    <definedName name="DOSE" localSheetId="4">#REF!</definedName>
    <definedName name="DOSE" localSheetId="1">#REF!</definedName>
    <definedName name="DOSE" localSheetId="3">#REF!</definedName>
    <definedName name="DOSE">#REF!</definedName>
    <definedName name="eRFRS">[1]Reference!$E$2:$E$3</definedName>
    <definedName name="Excel_BuiltIn__FilterDatabase_1" localSheetId="1">'[2]DBASE.DISB GOP'!$A$12:$IV$316</definedName>
    <definedName name="Excel_BuiltIn__FilterDatabase_1" localSheetId="3">'[3]DBASE.DISB GOP'!$A$12:$IV$316</definedName>
    <definedName name="Excel_BuiltIn__FilterDatabase_1">'[3]DBASE.DISB GOP'!$A$12:$IV$316</definedName>
    <definedName name="Excel_BuiltIn__FilterDatabase_2" localSheetId="8">#REF!</definedName>
    <definedName name="Excel_BuiltIn__FilterDatabase_2" localSheetId="7">#REF!</definedName>
    <definedName name="Excel_BuiltIn__FilterDatabase_2" localSheetId="4">#REF!</definedName>
    <definedName name="Excel_BuiltIn__FilterDatabase_2" localSheetId="1">#REF!</definedName>
    <definedName name="Excel_BuiltIn__FilterDatabase_2" localSheetId="3">#REF!</definedName>
    <definedName name="Excel_BuiltIn__FilterDatabase_2">#REF!</definedName>
    <definedName name="FIVE" localSheetId="8">#REF!</definedName>
    <definedName name="FIVE" localSheetId="7">#REF!</definedName>
    <definedName name="FIVE" localSheetId="4">#REF!</definedName>
    <definedName name="FIVE" localSheetId="1">#REF!</definedName>
    <definedName name="FIVE" localSheetId="3">#REF!</definedName>
    <definedName name="FIVE">#REF!</definedName>
    <definedName name="FOUR" localSheetId="8">#REF!</definedName>
    <definedName name="FOUR" localSheetId="7">#REF!</definedName>
    <definedName name="FOUR" localSheetId="4">#REF!</definedName>
    <definedName name="FOUR" localSheetId="1">#REF!</definedName>
    <definedName name="FOUR" localSheetId="3">#REF!</definedName>
    <definedName name="FOUR">#REF!</definedName>
    <definedName name="FUND_SOURCE">[1]Reference!$A$2:$A$3</definedName>
    <definedName name="GROUP">[1]Reference!$B$2:$B$4</definedName>
    <definedName name="MUNIS">[1]Reference!$D$2:$D$73</definedName>
    <definedName name="NamedRange1" localSheetId="7">#REF!</definedName>
    <definedName name="NamedRange1" localSheetId="4">#REF!</definedName>
    <definedName name="NamedRange1" localSheetId="3">#REF!</definedName>
    <definedName name="NamedRange1">#REF!</definedName>
    <definedName name="NamedRange2" localSheetId="7">#REF!</definedName>
    <definedName name="NamedRange2" localSheetId="4">#REF!</definedName>
    <definedName name="NamedRange2" localSheetId="3">#REF!</definedName>
    <definedName name="NamedRange2">#REF!</definedName>
    <definedName name="NamedRange4" localSheetId="7">#REF!</definedName>
    <definedName name="NamedRange4" localSheetId="4">#REF!</definedName>
    <definedName name="NamedRange4" localSheetId="3">#REF!</definedName>
    <definedName name="NamedRange4">#REF!</definedName>
    <definedName name="NCR" localSheetId="8">#REF!</definedName>
    <definedName name="NCR" localSheetId="7">#REF!</definedName>
    <definedName name="NCR" localSheetId="4">#REF!</definedName>
    <definedName name="NCR" localSheetId="1">#REF!</definedName>
    <definedName name="NCR" localSheetId="3">#REF!</definedName>
    <definedName name="NCR">#REF!</definedName>
    <definedName name="NINE" localSheetId="8">#REF!</definedName>
    <definedName name="NINE" localSheetId="7">#REF!</definedName>
    <definedName name="NINE" localSheetId="4">#REF!</definedName>
    <definedName name="NINE" localSheetId="1">#REF!</definedName>
    <definedName name="NINE" localSheetId="3">#REF!</definedName>
    <definedName name="NINE">#REF!</definedName>
    <definedName name="o" localSheetId="8">#REF!</definedName>
    <definedName name="o" localSheetId="7">#REF!</definedName>
    <definedName name="o" localSheetId="4">#REF!</definedName>
    <definedName name="o" localSheetId="1">#REF!</definedName>
    <definedName name="o" localSheetId="3">#REF!</definedName>
    <definedName name="o">#REF!</definedName>
    <definedName name="ONE" localSheetId="8">#REF!</definedName>
    <definedName name="ONE" localSheetId="7">#REF!</definedName>
    <definedName name="ONE" localSheetId="4">#REF!</definedName>
    <definedName name="ONE" localSheetId="1">#REF!</definedName>
    <definedName name="ONE" localSheetId="3">#REF!</definedName>
    <definedName name="ONE">#REF!</definedName>
    <definedName name="ONSE" localSheetId="8">#REF!</definedName>
    <definedName name="ONSE" localSheetId="7">#REF!</definedName>
    <definedName name="ONSE" localSheetId="4">#REF!</definedName>
    <definedName name="ONSE" localSheetId="1">#REF!</definedName>
    <definedName name="ONSE" localSheetId="3">#REF!</definedName>
    <definedName name="ONSE">#REF!</definedName>
    <definedName name="OTSO" localSheetId="8">#REF!</definedName>
    <definedName name="OTSO" localSheetId="7">#REF!</definedName>
    <definedName name="OTSO" localSheetId="4">#REF!</definedName>
    <definedName name="OTSO" localSheetId="1">#REF!</definedName>
    <definedName name="OTSO" localSheetId="3">#REF!</definedName>
    <definedName name="OTSO">#REF!</definedName>
    <definedName name="_xlnm.Print_Area" localSheetId="8">' FC 7 '!$A$1:$P$51</definedName>
    <definedName name="_xlnm.Print_Area" localSheetId="7">' FC 7 SEPTEMBER'!$A$1:$P$55</definedName>
    <definedName name="_xlnm.Print_Area" localSheetId="4">'FC 3 SEPTEMBER '!$A$1:$Q$52</definedName>
    <definedName name="_xlnm.Print_Area" localSheetId="5">'FC 4 SEPTEMBER'!$A$1:$Q$52</definedName>
    <definedName name="_xlnm.Print_Area" localSheetId="6">'FC 6 SEPTEMBER'!$A$1:$Q$46</definedName>
    <definedName name="_xlnm.Print_Area" localSheetId="1">'FC1 SEPTEMBER'!$A$1:$S$118</definedName>
    <definedName name="_xlnm.Print_Area" localSheetId="3">'FC2'!$A$1:$Q$64</definedName>
    <definedName name="Print_Area_1" localSheetId="1">'[2]DBASE.DISB GOP'!$K$12:$K$316</definedName>
    <definedName name="Print_Area_1" localSheetId="3">'[3]DBASE.DISB GOP'!$K$12:$K$316</definedName>
    <definedName name="Print_Area_1">'[3]DBASE.DISB GOP'!$K$12:$K$316</definedName>
    <definedName name="Print_Area_2" localSheetId="8">#REF!</definedName>
    <definedName name="Print_Area_2" localSheetId="7">#REF!</definedName>
    <definedName name="Print_Area_2" localSheetId="4">#REF!</definedName>
    <definedName name="Print_Area_2" localSheetId="1">#REF!</definedName>
    <definedName name="Print_Area_2" localSheetId="3">#REF!</definedName>
    <definedName name="Print_Area_2">#REF!</definedName>
    <definedName name="_xlnm.Print_Titles" localSheetId="1">'FC1 SEPTEMBER'!$6:$8</definedName>
    <definedName name="Print_Titles_1" localSheetId="1">'[2]DBASE.DISB GOP'!$A$10:$IV$13</definedName>
    <definedName name="Print_Titles_1" localSheetId="3">'[3]DBASE.DISB GOP'!$A$10:$IV$13</definedName>
    <definedName name="Print_Titles_1">'[3]DBASE.DISB GOP'!$A$10:$IV$13</definedName>
    <definedName name="Print_Titles_2" localSheetId="8">#REF!</definedName>
    <definedName name="Print_Titles_2" localSheetId="7">#REF!</definedName>
    <definedName name="Print_Titles_2" localSheetId="4">#REF!</definedName>
    <definedName name="Print_Titles_2" localSheetId="1">#REF!</definedName>
    <definedName name="Print_Titles_2" localSheetId="3">#REF!</definedName>
    <definedName name="Print_Titles_2">#REF!</definedName>
    <definedName name="printing" localSheetId="8">#REF!</definedName>
    <definedName name="printing" localSheetId="7">#REF!</definedName>
    <definedName name="printing" localSheetId="4">#REF!</definedName>
    <definedName name="printing" localSheetId="1">#REF!</definedName>
    <definedName name="printing" localSheetId="3">#REF!</definedName>
    <definedName name="printing">#REF!</definedName>
    <definedName name="printingdecember" localSheetId="8">#REF!</definedName>
    <definedName name="printingdecember" localSheetId="7">#REF!</definedName>
    <definedName name="printingdecember" localSheetId="4">#REF!</definedName>
    <definedName name="printingdecember" localSheetId="1">#REF!</definedName>
    <definedName name="printingdecember" localSheetId="3">#REF!</definedName>
    <definedName name="printingdecember">#REF!</definedName>
    <definedName name="PROVINCE">[1]Reference!$C$2:$C$6</definedName>
    <definedName name="QuarterResults" localSheetId="8">#REF!</definedName>
    <definedName name="QuarterResults" localSheetId="7">#REF!</definedName>
    <definedName name="QuarterResults" localSheetId="4">#REF!</definedName>
    <definedName name="QuarterResults" localSheetId="1">#REF!</definedName>
    <definedName name="QuarterResults" localSheetId="3">#REF!</definedName>
    <definedName name="QuarterResults">#REF!</definedName>
    <definedName name="RESPONSIBLE">[1]Reference!$J$2:$J$22</definedName>
    <definedName name="ROCO" localSheetId="8">#REF!</definedName>
    <definedName name="ROCO" localSheetId="7">#REF!</definedName>
    <definedName name="ROCO" localSheetId="4">#REF!</definedName>
    <definedName name="ROCO" localSheetId="1">#REF!</definedName>
    <definedName name="ROCO" localSheetId="3">#REF!</definedName>
    <definedName name="ROCO">#REF!</definedName>
    <definedName name="SEVEN" localSheetId="8">#REF!</definedName>
    <definedName name="SEVEN" localSheetId="7">#REF!</definedName>
    <definedName name="SEVEN" localSheetId="4">#REF!</definedName>
    <definedName name="SEVEN" localSheetId="1">#REF!</definedName>
    <definedName name="SEVEN" localSheetId="3">#REF!</definedName>
    <definedName name="SEVEN">#REF!</definedName>
    <definedName name="SIX" localSheetId="8">#REF!</definedName>
    <definedName name="SIX" localSheetId="7">#REF!</definedName>
    <definedName name="SIX" localSheetId="4">#REF!</definedName>
    <definedName name="SIX" localSheetId="1">#REF!</definedName>
    <definedName name="SIX" localSheetId="3">#REF!</definedName>
    <definedName name="SIX">#REF!</definedName>
    <definedName name="STATUS">[1]Reference!$I$2:$I$120</definedName>
    <definedName name="TAF_BRGY" localSheetId="7">#REF!</definedName>
    <definedName name="TAF_BRGY" localSheetId="4">#REF!</definedName>
    <definedName name="TAF_BRGY" localSheetId="3">#REF!</definedName>
    <definedName name="TAF_BRGY">#REF!</definedName>
    <definedName name="TAF_CHECKDATE" localSheetId="7">#REF!</definedName>
    <definedName name="TAF_CHECKDATE" localSheetId="4">#REF!</definedName>
    <definedName name="TAF_CHECKDATE" localSheetId="3">#REF!</definedName>
    <definedName name="TAF_CHECKDATE">#REF!</definedName>
    <definedName name="TAF_CYCLE" localSheetId="7">#REF!</definedName>
    <definedName name="TAF_CYCLE" localSheetId="4">#REF!</definedName>
    <definedName name="TAF_CYCLE" localSheetId="3">#REF!</definedName>
    <definedName name="TAF_CYCLE">#REF!</definedName>
    <definedName name="TAF_DISBURSED" localSheetId="7">#REF!</definedName>
    <definedName name="TAF_DISBURSED" localSheetId="4">#REF!</definedName>
    <definedName name="TAF_DISBURSED" localSheetId="3">#REF!</definedName>
    <definedName name="TAF_DISBURSED">#REF!</definedName>
    <definedName name="TAF_eRFRS" localSheetId="7">#REF!</definedName>
    <definedName name="TAF_eRFRS" localSheetId="4">#REF!</definedName>
    <definedName name="TAF_eRFRS" localSheetId="3">#REF!</definedName>
    <definedName name="TAF_eRFRS">#REF!</definedName>
    <definedName name="TAF_GRANT" localSheetId="7">#REF!</definedName>
    <definedName name="TAF_GRANT" localSheetId="4">#REF!</definedName>
    <definedName name="TAF_GRANT" localSheetId="3">#REF!</definedName>
    <definedName name="TAF_GRANT">#REF!</definedName>
    <definedName name="TAF_GROUP" localSheetId="7">#REF!</definedName>
    <definedName name="TAF_GROUP" localSheetId="4">#REF!</definedName>
    <definedName name="TAF_GROUP" localSheetId="3">#REF!</definedName>
    <definedName name="TAF_GROUP">#REF!</definedName>
    <definedName name="TAF_LCC" localSheetId="7">#REF!</definedName>
    <definedName name="TAF_LCC" localSheetId="4">#REF!</definedName>
    <definedName name="TAF_LCC" localSheetId="3">#REF!</definedName>
    <definedName name="TAF_LCC">#REF!</definedName>
    <definedName name="TAF_MUNIS" localSheetId="7">#REF!</definedName>
    <definedName name="TAF_MUNIS" localSheetId="4">#REF!</definedName>
    <definedName name="TAF_MUNIS" localSheetId="3">#REF!</definedName>
    <definedName name="TAF_MUNIS">#REF!</definedName>
    <definedName name="TAF_OBLIGATED" localSheetId="7">#REF!</definedName>
    <definedName name="TAF_OBLIGATED" localSheetId="4">#REF!</definedName>
    <definedName name="TAF_OBLIGATED" localSheetId="3">#REF!</definedName>
    <definedName name="TAF_OBLIGATED">#REF!</definedName>
    <definedName name="TAF_STATUS" localSheetId="7">#REF!</definedName>
    <definedName name="TAF_STATUS" localSheetId="4">#REF!</definedName>
    <definedName name="TAF_STATUS" localSheetId="3">#REF!</definedName>
    <definedName name="TAF_STATUS">#REF!</definedName>
    <definedName name="TAF_TAF_AMOUNT" localSheetId="7">#REF!</definedName>
    <definedName name="TAF_TAF_AMOUNT" localSheetId="4">#REF!</definedName>
    <definedName name="TAF_TAF_AMOUNT" localSheetId="3">#REF!</definedName>
    <definedName name="TAF_TAF_AMOUNT">#REF!</definedName>
    <definedName name="TAF_TPC" localSheetId="7">#REF!</definedName>
    <definedName name="TAF_TPC" localSheetId="4">#REF!</definedName>
    <definedName name="TAF_TPC" localSheetId="3">#REF!</definedName>
    <definedName name="TAF_TPC">#REF!</definedName>
    <definedName name="TAF_TRANCHE" localSheetId="7">#REF!</definedName>
    <definedName name="TAF_TRANCHE" localSheetId="4">#REF!</definedName>
    <definedName name="TAF_TRANCHE" localSheetId="3">#REF!</definedName>
    <definedName name="TAF_TRANCHE">#REF!</definedName>
    <definedName name="TAF_YEAR" localSheetId="7">#REF!</definedName>
    <definedName name="TAF_YEAR" localSheetId="4">#REF!</definedName>
    <definedName name="TAF_YEAR" localSheetId="3">#REF!</definedName>
    <definedName name="TAF_YEAR">#REF!</definedName>
    <definedName name="TEN" localSheetId="8">#REF!</definedName>
    <definedName name="TEN" localSheetId="7">#REF!</definedName>
    <definedName name="TEN" localSheetId="4">#REF!</definedName>
    <definedName name="TEN" localSheetId="1">#REF!</definedName>
    <definedName name="TEN" localSheetId="3">#REF!</definedName>
    <definedName name="TEN">#REF!</definedName>
    <definedName name="THREE" localSheetId="8">#REF!</definedName>
    <definedName name="THREE" localSheetId="7">#REF!</definedName>
    <definedName name="THREE" localSheetId="4">#REF!</definedName>
    <definedName name="THREE" localSheetId="1">#REF!</definedName>
    <definedName name="THREE" localSheetId="3">#REF!</definedName>
    <definedName name="THREE">#REF!</definedName>
    <definedName name="TRANCHE">[1]Reference!$F$2:$F$5</definedName>
    <definedName name="TWO" localSheetId="8">#REF!</definedName>
    <definedName name="TWO" localSheetId="7">#REF!</definedName>
    <definedName name="TWO" localSheetId="4">#REF!</definedName>
    <definedName name="TWO" localSheetId="1">#REF!</definedName>
    <definedName name="TWO" localSheetId="3">#REF!</definedName>
    <definedName name="TWO">#REF!</definedName>
    <definedName name="YEAR">[1]Reference!$H$2:$H$7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7" l="1"/>
  <c r="V17" i="11"/>
  <c r="V4" i="11"/>
  <c r="U4" i="11" l="1"/>
  <c r="U17" i="11"/>
  <c r="S105" i="7" l="1"/>
  <c r="S91" i="7" l="1"/>
  <c r="Q91" i="7"/>
  <c r="G91" i="7"/>
  <c r="G90" i="7"/>
  <c r="O90" i="7" l="1"/>
  <c r="K90" i="7"/>
  <c r="U5" i="11"/>
  <c r="V5" i="11" s="1"/>
  <c r="G70" i="7" l="1"/>
  <c r="K67" i="7"/>
  <c r="I67" i="7"/>
  <c r="O67" i="7" s="1"/>
  <c r="P67" i="7" s="1"/>
  <c r="K69" i="7"/>
  <c r="G69" i="7"/>
  <c r="I69" i="7" s="1"/>
  <c r="O69" i="7" s="1"/>
  <c r="P69" i="7" s="1"/>
  <c r="K76" i="7"/>
  <c r="I76" i="7"/>
  <c r="O76" i="7" s="1"/>
  <c r="P76" i="7" s="1"/>
  <c r="K54" i="7"/>
  <c r="I54" i="7"/>
  <c r="O54" i="7" s="1"/>
  <c r="P54" i="7" s="1"/>
  <c r="V14" i="11"/>
  <c r="V13" i="11"/>
  <c r="V12" i="11"/>
  <c r="V9" i="11"/>
  <c r="V8" i="11"/>
  <c r="N28" i="11"/>
  <c r="N27" i="11" l="1"/>
  <c r="N26" i="11"/>
  <c r="N25" i="11"/>
  <c r="N24" i="11"/>
  <c r="N23" i="11"/>
  <c r="N22" i="11"/>
  <c r="N21" i="11"/>
  <c r="N20" i="11"/>
  <c r="N19" i="11"/>
  <c r="M16" i="11"/>
  <c r="G93" i="7"/>
  <c r="M13" i="11" l="1"/>
  <c r="M12" i="11"/>
  <c r="M11" i="11"/>
  <c r="G45" i="7"/>
  <c r="E30" i="11"/>
  <c r="I33" i="7" l="1"/>
  <c r="K33" i="7" s="1"/>
  <c r="G32" i="7"/>
  <c r="I45" i="7"/>
  <c r="O45" i="7" s="1"/>
  <c r="P45" i="7" s="1"/>
  <c r="K45" i="7"/>
  <c r="D45" i="7"/>
  <c r="G44" i="7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O33" i="7" l="1"/>
  <c r="P33" i="7" s="1"/>
  <c r="D14" i="11"/>
  <c r="D12" i="11"/>
  <c r="D11" i="11"/>
  <c r="M17" i="9" l="1"/>
  <c r="O41" i="9"/>
  <c r="K41" i="9"/>
  <c r="N41" i="9" s="1"/>
  <c r="M29" i="9" l="1"/>
  <c r="M28" i="9"/>
  <c r="M27" i="9"/>
  <c r="M26" i="9"/>
  <c r="M25" i="9"/>
  <c r="U11" i="11" l="1"/>
  <c r="U7" i="11" l="1"/>
  <c r="U3" i="11"/>
  <c r="U2" i="11"/>
  <c r="G89" i="7" l="1"/>
  <c r="I89" i="7" s="1"/>
  <c r="O89" i="7" l="1"/>
  <c r="P89" i="7" s="1"/>
  <c r="K89" i="7"/>
  <c r="P90" i="7"/>
  <c r="P79" i="7"/>
  <c r="G79" i="7"/>
  <c r="J79" i="7" s="1"/>
  <c r="K79" i="7" s="1"/>
  <c r="G31" i="7" l="1"/>
  <c r="G47" i="7"/>
  <c r="K47" i="7" s="1"/>
  <c r="O47" i="7" s="1"/>
  <c r="P47" i="7" s="1"/>
  <c r="I47" i="7" l="1"/>
  <c r="L18" i="11"/>
  <c r="L15" i="11" l="1"/>
  <c r="J93" i="7"/>
  <c r="L10" i="11" l="1"/>
  <c r="L6" i="11"/>
  <c r="L5" i="11"/>
  <c r="M5" i="11" s="1"/>
  <c r="L4" i="11"/>
  <c r="M4" i="11" s="1"/>
  <c r="L3" i="11"/>
  <c r="L2" i="11"/>
  <c r="L7" i="11" l="1"/>
  <c r="L8" i="11" s="1"/>
  <c r="D18" i="7"/>
  <c r="D19" i="7"/>
  <c r="D20" i="7"/>
  <c r="D21" i="7"/>
  <c r="D22" i="7"/>
  <c r="D23" i="7"/>
  <c r="D24" i="7"/>
  <c r="D25" i="7"/>
  <c r="D26" i="7"/>
  <c r="D27" i="7"/>
  <c r="D28" i="7"/>
  <c r="D29" i="7"/>
  <c r="D32" i="7"/>
  <c r="D34" i="7"/>
  <c r="G34" i="7" s="1"/>
  <c r="D35" i="7"/>
  <c r="G35" i="7" s="1"/>
  <c r="D36" i="7"/>
  <c r="D37" i="7"/>
  <c r="D38" i="7"/>
  <c r="D39" i="7"/>
  <c r="D40" i="7"/>
  <c r="D41" i="7"/>
  <c r="D42" i="7"/>
  <c r="D43" i="7"/>
  <c r="G43" i="7" s="1"/>
  <c r="D49" i="7"/>
  <c r="D50" i="7"/>
  <c r="D51" i="7"/>
  <c r="D52" i="7"/>
  <c r="D53" i="7"/>
  <c r="G53" i="7" s="1"/>
  <c r="D55" i="7"/>
  <c r="D56" i="7"/>
  <c r="D57" i="7"/>
  <c r="D58" i="7"/>
  <c r="D59" i="7"/>
  <c r="G59" i="7" s="1"/>
  <c r="D60" i="7"/>
  <c r="D61" i="7"/>
  <c r="D62" i="7"/>
  <c r="D64" i="7"/>
  <c r="D65" i="7"/>
  <c r="D66" i="7"/>
  <c r="G66" i="7" s="1"/>
  <c r="D68" i="7"/>
  <c r="G68" i="7" s="1"/>
  <c r="D70" i="7"/>
  <c r="D71" i="7"/>
  <c r="G71" i="7" s="1"/>
  <c r="D72" i="7"/>
  <c r="D73" i="7"/>
  <c r="D74" i="7"/>
  <c r="G74" i="7" s="1"/>
  <c r="D75" i="7"/>
  <c r="G75" i="7" s="1"/>
  <c r="D77" i="7"/>
  <c r="G77" i="7" s="1"/>
  <c r="D78" i="7"/>
  <c r="D80" i="7"/>
  <c r="D17" i="7"/>
  <c r="K77" i="7" l="1"/>
  <c r="I77" i="7"/>
  <c r="O77" i="7" s="1"/>
  <c r="P77" i="7" s="1"/>
  <c r="E40" i="7"/>
  <c r="G40" i="7" s="1"/>
  <c r="F25" i="7"/>
  <c r="G25" i="7" s="1"/>
  <c r="F18" i="7"/>
  <c r="F19" i="7"/>
  <c r="F20" i="7"/>
  <c r="F21" i="7"/>
  <c r="F22" i="7"/>
  <c r="F23" i="7"/>
  <c r="F24" i="7"/>
  <c r="F26" i="7"/>
  <c r="F27" i="7"/>
  <c r="F29" i="7"/>
  <c r="F30" i="7"/>
  <c r="F31" i="7"/>
  <c r="F32" i="7"/>
  <c r="F34" i="7"/>
  <c r="F35" i="7"/>
  <c r="F36" i="7"/>
  <c r="G36" i="7" s="1"/>
  <c r="F37" i="7"/>
  <c r="F38" i="7"/>
  <c r="F39" i="7"/>
  <c r="F40" i="7"/>
  <c r="F41" i="7"/>
  <c r="F42" i="7"/>
  <c r="F43" i="7"/>
  <c r="F44" i="7"/>
  <c r="F46" i="7"/>
  <c r="F48" i="7"/>
  <c r="F49" i="7"/>
  <c r="F50" i="7"/>
  <c r="F51" i="7"/>
  <c r="F52" i="7"/>
  <c r="F53" i="7"/>
  <c r="F55" i="7"/>
  <c r="F56" i="7"/>
  <c r="F57" i="7"/>
  <c r="F58" i="7"/>
  <c r="F59" i="7"/>
  <c r="F60" i="7"/>
  <c r="F61" i="7"/>
  <c r="F62" i="7"/>
  <c r="F63" i="7"/>
  <c r="F64" i="7"/>
  <c r="F65" i="7"/>
  <c r="F66" i="7"/>
  <c r="F68" i="7"/>
  <c r="F70" i="7"/>
  <c r="F71" i="7"/>
  <c r="F72" i="7"/>
  <c r="F73" i="7"/>
  <c r="F74" i="7"/>
  <c r="F75" i="7"/>
  <c r="F78" i="7"/>
  <c r="F80" i="7"/>
  <c r="F81" i="7"/>
  <c r="F97" i="7"/>
  <c r="F98" i="7"/>
  <c r="F99" i="7"/>
  <c r="F100" i="7"/>
  <c r="F101" i="7"/>
  <c r="F102" i="7"/>
  <c r="F17" i="7"/>
  <c r="G17" i="7"/>
  <c r="C12" i="11"/>
  <c r="C14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11" i="11"/>
  <c r="B18" i="11" l="1"/>
  <c r="C18" i="11" s="1"/>
  <c r="B15" i="11"/>
  <c r="B13" i="11" l="1"/>
  <c r="B6" i="11" l="1"/>
  <c r="B5" i="11"/>
  <c r="G86" i="7" s="1"/>
  <c r="B4" i="11"/>
  <c r="G85" i="7" s="1"/>
  <c r="B3" i="11"/>
  <c r="C4" i="11" l="1"/>
  <c r="C5" i="11"/>
  <c r="B7" i="11"/>
  <c r="B8" i="11" s="1"/>
  <c r="D36" i="10"/>
  <c r="R48" i="10"/>
  <c r="S48" i="10" s="1"/>
  <c r="T48" i="10" s="1"/>
  <c r="Q47" i="10"/>
  <c r="Q48" i="10" s="1"/>
  <c r="E44" i="10"/>
  <c r="D39" i="10"/>
  <c r="Q35" i="10"/>
  <c r="O35" i="10"/>
  <c r="L35" i="10"/>
  <c r="L38" i="10" s="1"/>
  <c r="I35" i="10"/>
  <c r="D35" i="10"/>
  <c r="E43" i="10" s="1"/>
  <c r="E46" i="10" s="1"/>
  <c r="A35" i="10"/>
  <c r="P34" i="10"/>
  <c r="L40" i="10" s="1"/>
  <c r="H32" i="10"/>
  <c r="K30" i="10"/>
  <c r="F30" i="10"/>
  <c r="H30" i="10" s="1"/>
  <c r="H20" i="10" s="1"/>
  <c r="L29" i="10"/>
  <c r="H29" i="10"/>
  <c r="H27" i="10"/>
  <c r="L26" i="10"/>
  <c r="H26" i="10"/>
  <c r="H25" i="10"/>
  <c r="H24" i="10"/>
  <c r="M23" i="10"/>
  <c r="L23" i="10"/>
  <c r="H23" i="10"/>
  <c r="M22" i="10"/>
  <c r="M35" i="10" s="1"/>
  <c r="L39" i="10" s="1"/>
  <c r="H22" i="10"/>
  <c r="E20" i="10"/>
  <c r="E35" i="10" s="1"/>
  <c r="L18" i="10"/>
  <c r="H18" i="10"/>
  <c r="M17" i="10"/>
  <c r="H17" i="10"/>
  <c r="H16" i="10"/>
  <c r="L14" i="10"/>
  <c r="H14" i="10"/>
  <c r="L13" i="10"/>
  <c r="H13" i="10"/>
  <c r="H11" i="10"/>
  <c r="A9" i="10"/>
  <c r="A3" i="10"/>
  <c r="L41" i="10" l="1"/>
  <c r="O40" i="10"/>
  <c r="O41" i="10" s="1"/>
  <c r="H35" i="10"/>
  <c r="H40" i="10" s="1"/>
  <c r="D38" i="10"/>
  <c r="D40" i="10" s="1"/>
  <c r="L42" i="10" l="1"/>
  <c r="D36" i="4" l="1"/>
  <c r="Q51" i="9" l="1"/>
  <c r="Q50" i="9"/>
  <c r="R52" i="9" s="1"/>
  <c r="S52" i="9" s="1"/>
  <c r="T52" i="9" s="1"/>
  <c r="E46" i="9"/>
  <c r="I43" i="9"/>
  <c r="P42" i="9"/>
  <c r="J42" i="9"/>
  <c r="F42" i="9"/>
  <c r="O40" i="9"/>
  <c r="K40" i="9"/>
  <c r="O39" i="9"/>
  <c r="N39" i="9"/>
  <c r="O38" i="9"/>
  <c r="N38" i="9"/>
  <c r="N37" i="9"/>
  <c r="E37" i="9"/>
  <c r="O37" i="9" s="1"/>
  <c r="E36" i="9"/>
  <c r="O36" i="9" s="1"/>
  <c r="O42" i="9" s="1"/>
  <c r="N33" i="9"/>
  <c r="I33" i="9"/>
  <c r="I32" i="9"/>
  <c r="E32" i="9"/>
  <c r="K32" i="9" s="1"/>
  <c r="N32" i="9" s="1"/>
  <c r="I31" i="9"/>
  <c r="N24" i="9"/>
  <c r="G22" i="9"/>
  <c r="I22" i="9" s="1"/>
  <c r="E21" i="9"/>
  <c r="I19" i="9"/>
  <c r="N11" i="9"/>
  <c r="M11" i="9"/>
  <c r="I11" i="9"/>
  <c r="H11" i="9"/>
  <c r="G11" i="9"/>
  <c r="E11" i="9"/>
  <c r="E17" i="9" l="1"/>
  <c r="M42" i="9"/>
  <c r="M45" i="9" s="1"/>
  <c r="G17" i="9"/>
  <c r="I17" i="9"/>
  <c r="I42" i="9" s="1"/>
  <c r="E42" i="9"/>
  <c r="O32" i="9"/>
  <c r="P47" i="9" s="1"/>
  <c r="K36" i="9"/>
  <c r="N36" i="9" s="1"/>
  <c r="N17" i="9" s="1"/>
  <c r="N42" i="9" s="1"/>
  <c r="Q52" i="9"/>
  <c r="M46" i="9" l="1"/>
  <c r="E43" i="9"/>
  <c r="E45" i="9"/>
  <c r="E47" i="9" s="1"/>
  <c r="M47" i="9" l="1"/>
  <c r="N48" i="9"/>
  <c r="N49" i="9" s="1"/>
  <c r="S110" i="7" l="1"/>
  <c r="G61" i="7" l="1"/>
  <c r="G51" i="7"/>
  <c r="G80" i="7"/>
  <c r="I80" i="7" s="1"/>
  <c r="G73" i="7"/>
  <c r="G62" i="7"/>
  <c r="G50" i="7"/>
  <c r="K80" i="7" l="1"/>
  <c r="O80" i="7"/>
  <c r="Q80" i="7" s="1"/>
  <c r="G83" i="7"/>
  <c r="J83" i="7" s="1"/>
  <c r="K83" i="7" l="1"/>
  <c r="N83" i="7"/>
  <c r="G42" i="7"/>
  <c r="P83" i="7" l="1"/>
  <c r="G102" i="7" l="1"/>
  <c r="I102" i="7" s="1"/>
  <c r="G19" i="7"/>
  <c r="O101" i="7"/>
  <c r="K101" i="7"/>
  <c r="O100" i="7"/>
  <c r="Q100" i="7" s="1"/>
  <c r="K100" i="7"/>
  <c r="I100" i="7"/>
  <c r="G99" i="7"/>
  <c r="I99" i="7" s="1"/>
  <c r="K99" i="7" l="1"/>
  <c r="Q101" i="7"/>
  <c r="O99" i="7"/>
  <c r="Q99" i="7" s="1"/>
  <c r="K102" i="7"/>
  <c r="O102" i="7"/>
  <c r="Q102" i="7" s="1"/>
  <c r="G98" i="7"/>
  <c r="K98" i="7" s="1"/>
  <c r="G78" i="7"/>
  <c r="K78" i="7" s="1"/>
  <c r="O98" i="7" l="1"/>
  <c r="I78" i="7"/>
  <c r="I98" i="7"/>
  <c r="G24" i="7"/>
  <c r="G21" i="7"/>
  <c r="I21" i="7" s="1"/>
  <c r="O21" i="7" s="1"/>
  <c r="Q98" i="7" l="1"/>
  <c r="Q21" i="7"/>
  <c r="O78" i="7"/>
  <c r="K21" i="7"/>
  <c r="P78" i="7" l="1"/>
  <c r="K75" i="7" l="1"/>
  <c r="I75" i="7"/>
  <c r="K74" i="7"/>
  <c r="I74" i="7"/>
  <c r="O74" i="7" l="1"/>
  <c r="O75" i="7"/>
  <c r="K73" i="7"/>
  <c r="I73" i="7"/>
  <c r="G30" i="7"/>
  <c r="G72" i="7"/>
  <c r="K72" i="7" s="1"/>
  <c r="O73" i="7" l="1"/>
  <c r="Q73" i="7" s="1"/>
  <c r="P75" i="7"/>
  <c r="P74" i="7"/>
  <c r="I72" i="7"/>
  <c r="K71" i="7"/>
  <c r="I71" i="7"/>
  <c r="K70" i="7"/>
  <c r="I70" i="7"/>
  <c r="O70" i="7" s="1"/>
  <c r="P70" i="7" s="1"/>
  <c r="I68" i="7"/>
  <c r="K68" i="7"/>
  <c r="K66" i="7"/>
  <c r="I66" i="7"/>
  <c r="O66" i="7" l="1"/>
  <c r="O68" i="7"/>
  <c r="O71" i="7"/>
  <c r="O72" i="7"/>
  <c r="Q72" i="7" s="1"/>
  <c r="K60" i="7"/>
  <c r="P71" i="7" l="1"/>
  <c r="P68" i="7"/>
  <c r="P66" i="7"/>
  <c r="I60" i="7"/>
  <c r="G97" i="7"/>
  <c r="O97" i="7" s="1"/>
  <c r="P97" i="7" l="1"/>
  <c r="O60" i="7"/>
  <c r="G28" i="7"/>
  <c r="Q60" i="7" l="1"/>
  <c r="K94" i="7"/>
  <c r="I96" i="7" l="1"/>
  <c r="I37" i="7"/>
  <c r="I62" i="7"/>
  <c r="I51" i="7" l="1"/>
  <c r="G65" i="7"/>
  <c r="I40" i="7"/>
  <c r="G64" i="7"/>
  <c r="I64" i="7" s="1"/>
  <c r="G58" i="7"/>
  <c r="I58" i="7" s="1"/>
  <c r="O64" i="7" l="1"/>
  <c r="Q64" i="7" s="1"/>
  <c r="K64" i="7"/>
  <c r="K65" i="7"/>
  <c r="I65" i="7"/>
  <c r="G63" i="7"/>
  <c r="I63" i="7" s="1"/>
  <c r="O63" i="7" l="1"/>
  <c r="Q63" i="7" s="1"/>
  <c r="O65" i="7"/>
  <c r="Q65" i="7" s="1"/>
  <c r="K63" i="7"/>
  <c r="I25" i="7"/>
  <c r="I17" i="7" l="1"/>
  <c r="G18" i="7"/>
  <c r="I18" i="7" l="1"/>
  <c r="O17" i="7"/>
  <c r="K62" i="7"/>
  <c r="O62" i="7"/>
  <c r="Q62" i="7" s="1"/>
  <c r="I28" i="7"/>
  <c r="I50" i="7"/>
  <c r="G49" i="7"/>
  <c r="G23" i="7"/>
  <c r="I49" i="7" l="1"/>
  <c r="K49" i="7"/>
  <c r="I35" i="7" l="1"/>
  <c r="I86" i="7" l="1"/>
  <c r="I85" i="7" l="1"/>
  <c r="A31" i="5" l="1"/>
  <c r="A35" i="4"/>
  <c r="A3" i="5" l="1"/>
  <c r="A3" i="4"/>
  <c r="N82" i="7" l="1"/>
  <c r="K82" i="7"/>
  <c r="G82" i="7"/>
  <c r="N94" i="7"/>
  <c r="I36" i="7"/>
  <c r="G57" i="7"/>
  <c r="I87" i="7"/>
  <c r="O37" i="7"/>
  <c r="K37" i="7"/>
  <c r="J57" i="7"/>
  <c r="P82" i="7" l="1"/>
  <c r="I57" i="7"/>
  <c r="N57" i="7"/>
  <c r="K57" i="7" l="1"/>
  <c r="O57" i="7"/>
  <c r="Q57" i="7" s="1"/>
  <c r="J24" i="7"/>
  <c r="I24" i="7" s="1"/>
  <c r="K24" i="7" s="1"/>
  <c r="I61" i="7"/>
  <c r="G39" i="7"/>
  <c r="I31" i="7"/>
  <c r="K39" i="7" l="1"/>
  <c r="I39" i="7"/>
  <c r="O39" i="7" s="1"/>
  <c r="Q39" i="7" s="1"/>
  <c r="K53" i="7"/>
  <c r="I53" i="7"/>
  <c r="J34" i="7"/>
  <c r="J23" i="7"/>
  <c r="J32" i="7"/>
  <c r="O24" i="7"/>
  <c r="N24" i="7"/>
  <c r="O61" i="7"/>
  <c r="O40" i="7"/>
  <c r="K36" i="7"/>
  <c r="G56" i="7"/>
  <c r="I56" i="7" s="1"/>
  <c r="G27" i="7"/>
  <c r="I27" i="7" s="1"/>
  <c r="G26" i="7"/>
  <c r="I26" i="7" s="1"/>
  <c r="G55" i="7"/>
  <c r="O31" i="7"/>
  <c r="Q31" i="7" s="1"/>
  <c r="O58" i="7"/>
  <c r="Q58" i="7" s="1"/>
  <c r="K58" i="7"/>
  <c r="K31" i="7"/>
  <c r="O53" i="7" l="1"/>
  <c r="O56" i="7"/>
  <c r="Q56" i="7" s="1"/>
  <c r="Q24" i="7"/>
  <c r="K43" i="7"/>
  <c r="I43" i="7"/>
  <c r="N32" i="7"/>
  <c r="I32" i="7"/>
  <c r="N23" i="7"/>
  <c r="I23" i="7"/>
  <c r="N34" i="7"/>
  <c r="I34" i="7"/>
  <c r="K59" i="7"/>
  <c r="I59" i="7"/>
  <c r="O27" i="7"/>
  <c r="Q27" i="7" s="1"/>
  <c r="O26" i="7"/>
  <c r="Q26" i="7" s="1"/>
  <c r="O43" i="7" l="1"/>
  <c r="Q43" i="7" s="1"/>
  <c r="O59" i="7"/>
  <c r="P53" i="7"/>
  <c r="O32" i="7"/>
  <c r="Q32" i="7" s="1"/>
  <c r="K32" i="7"/>
  <c r="O34" i="7"/>
  <c r="K34" i="7"/>
  <c r="O23" i="7"/>
  <c r="Q23" i="7" s="1"/>
  <c r="K23" i="7"/>
  <c r="P34" i="7"/>
  <c r="K44" i="7"/>
  <c r="I44" i="7"/>
  <c r="E36" i="6"/>
  <c r="O36" i="6" s="1"/>
  <c r="N21" i="6"/>
  <c r="L21" i="6"/>
  <c r="E21" i="6"/>
  <c r="I21" i="6" s="1"/>
  <c r="O44" i="7" l="1"/>
  <c r="Q44" i="7" s="1"/>
  <c r="P59" i="7"/>
  <c r="K36" i="6"/>
  <c r="N36" i="6" s="1"/>
  <c r="N17" i="6" s="1"/>
  <c r="E42" i="6" l="1"/>
  <c r="D35" i="5"/>
  <c r="D39" i="4"/>
  <c r="G109" i="7"/>
  <c r="M31" i="5" l="1"/>
  <c r="L31" i="5"/>
  <c r="L13" i="5"/>
  <c r="D13" i="5"/>
  <c r="H13" i="5" s="1"/>
  <c r="H31" i="5" s="1"/>
  <c r="D31" i="5" l="1"/>
  <c r="D32" i="5" s="1"/>
  <c r="L40" i="4"/>
  <c r="P34" i="4"/>
  <c r="A9" i="4" l="1"/>
  <c r="L51" i="3"/>
  <c r="G95" i="7"/>
  <c r="O35" i="7"/>
  <c r="O96" i="7"/>
  <c r="Q96" i="7" s="1"/>
  <c r="K96" i="7"/>
  <c r="P35" i="7" l="1"/>
  <c r="O94" i="7"/>
  <c r="G22" i="7"/>
  <c r="G20" i="7"/>
  <c r="P94" i="7" l="1"/>
  <c r="K20" i="7"/>
  <c r="I20" i="7"/>
  <c r="O20" i="7" s="1"/>
  <c r="K22" i="7"/>
  <c r="I22" i="7"/>
  <c r="O22" i="7" s="1"/>
  <c r="Q20" i="7"/>
  <c r="O36" i="7"/>
  <c r="G52" i="7"/>
  <c r="I19" i="7" l="1"/>
  <c r="K30" i="7"/>
  <c r="I30" i="7"/>
  <c r="O30" i="7" s="1"/>
  <c r="K52" i="7"/>
  <c r="I52" i="7"/>
  <c r="O52" i="7" s="1"/>
  <c r="O25" i="7"/>
  <c r="O28" i="7"/>
  <c r="Q28" i="7" l="1"/>
  <c r="O19" i="7"/>
  <c r="N93" i="7"/>
  <c r="Q93" i="7" s="1"/>
  <c r="O85" i="7"/>
  <c r="K85" i="7"/>
  <c r="G88" i="7"/>
  <c r="J88" i="7"/>
  <c r="O86" i="7"/>
  <c r="O87" i="7"/>
  <c r="K93" i="7" l="1"/>
  <c r="I88" i="7"/>
  <c r="P85" i="7"/>
  <c r="N88" i="7"/>
  <c r="K17" i="7"/>
  <c r="G38" i="7"/>
  <c r="J55" i="7"/>
  <c r="J15" i="7" s="1"/>
  <c r="O18" i="7"/>
  <c r="K18" i="7"/>
  <c r="O88" i="7" l="1"/>
  <c r="K88" i="7"/>
  <c r="I55" i="7"/>
  <c r="K38" i="7"/>
  <c r="I38" i="7"/>
  <c r="O38" i="7" s="1"/>
  <c r="Q18" i="7"/>
  <c r="P88" i="7" l="1"/>
  <c r="O55" i="7"/>
  <c r="K55" i="7"/>
  <c r="Q17" i="7"/>
  <c r="N55" i="7"/>
  <c r="N15" i="7" s="1"/>
  <c r="K51" i="7"/>
  <c r="K50" i="7"/>
  <c r="G29" i="7"/>
  <c r="G48" i="7"/>
  <c r="I48" i="7" s="1"/>
  <c r="G46" i="7"/>
  <c r="G41" i="7"/>
  <c r="G15" i="7" l="1"/>
  <c r="G105" i="7" s="1"/>
  <c r="I29" i="7"/>
  <c r="Q55" i="7"/>
  <c r="K41" i="7"/>
  <c r="I41" i="7"/>
  <c r="K42" i="7"/>
  <c r="I42" i="7"/>
  <c r="K46" i="7"/>
  <c r="I46" i="7"/>
  <c r="K29" i="7"/>
  <c r="O48" i="7"/>
  <c r="P48" i="7" s="1"/>
  <c r="O49" i="7"/>
  <c r="O42" i="7" l="1"/>
  <c r="Q42" i="7" s="1"/>
  <c r="I15" i="7"/>
  <c r="O41" i="7"/>
  <c r="O51" i="7"/>
  <c r="P51" i="7" s="1"/>
  <c r="O46" i="7"/>
  <c r="O50" i="7"/>
  <c r="O29" i="7"/>
  <c r="O15" i="7" s="1"/>
  <c r="E17" i="6"/>
  <c r="P29" i="7" l="1"/>
  <c r="Q41" i="7"/>
  <c r="P46" i="7"/>
  <c r="D9" i="3"/>
  <c r="D45" i="3" s="1"/>
  <c r="P96" i="7" l="1"/>
  <c r="P93" i="7"/>
  <c r="K87" i="7"/>
  <c r="P87" i="7" s="1"/>
  <c r="K86" i="7"/>
  <c r="Q61" i="7"/>
  <c r="K61" i="7"/>
  <c r="P52" i="7"/>
  <c r="P50" i="7"/>
  <c r="P49" i="7"/>
  <c r="K48" i="7"/>
  <c r="Q40" i="7"/>
  <c r="Q38" i="7"/>
  <c r="Q36" i="7"/>
  <c r="K35" i="7"/>
  <c r="P30" i="7"/>
  <c r="K28" i="7"/>
  <c r="K27" i="7"/>
  <c r="K26" i="7"/>
  <c r="K25" i="7"/>
  <c r="Q22" i="7"/>
  <c r="Q19" i="7"/>
  <c r="Q14" i="7"/>
  <c r="Q11" i="7" s="1"/>
  <c r="J14" i="7"/>
  <c r="K14" i="7" s="1"/>
  <c r="K13" i="7"/>
  <c r="P11" i="7"/>
  <c r="G11" i="7"/>
  <c r="G106" i="7" s="1"/>
  <c r="G108" i="7" l="1"/>
  <c r="G110" i="7" s="1"/>
  <c r="P86" i="7"/>
  <c r="P15" i="7" s="1"/>
  <c r="J11" i="7"/>
  <c r="K11" i="7" s="1"/>
  <c r="K19" i="7"/>
  <c r="P95" i="7"/>
  <c r="K56" i="7"/>
  <c r="K40" i="7"/>
  <c r="K15" i="7" l="1"/>
  <c r="K105" i="7" s="1"/>
  <c r="P105" i="7"/>
  <c r="P108" i="7" s="1"/>
  <c r="Q37" i="7"/>
  <c r="Q25" i="7"/>
  <c r="Q15" i="7" l="1"/>
  <c r="Q105" i="7"/>
  <c r="P109" i="7" s="1"/>
  <c r="Q111" i="7" s="1"/>
  <c r="Q112" i="7" s="1"/>
  <c r="O50" i="3"/>
  <c r="D38" i="2" l="1"/>
  <c r="B99" i="2"/>
  <c r="D88" i="2"/>
  <c r="D87" i="2"/>
  <c r="E87" i="2" s="1"/>
  <c r="D86" i="2"/>
  <c r="E86" i="2" s="1"/>
  <c r="D85" i="2"/>
  <c r="E85" i="2" s="1"/>
  <c r="D84" i="2"/>
  <c r="D83" i="2"/>
  <c r="E83" i="2" s="1"/>
  <c r="D82" i="2"/>
  <c r="E82" i="2" s="1"/>
  <c r="D81" i="2"/>
  <c r="E81" i="2" s="1"/>
  <c r="D80" i="2"/>
  <c r="E80" i="2" s="1"/>
  <c r="D79" i="2"/>
  <c r="E79" i="2" s="1"/>
  <c r="D78" i="2"/>
  <c r="E78" i="2" s="1"/>
  <c r="D25" i="2"/>
  <c r="E25" i="2" s="1"/>
  <c r="D77" i="2"/>
  <c r="E77" i="2" s="1"/>
  <c r="D76" i="2"/>
  <c r="E76" i="2" s="1"/>
  <c r="D75" i="2"/>
  <c r="E75" i="2" s="1"/>
  <c r="D74" i="2"/>
  <c r="E74" i="2" s="1"/>
  <c r="D73" i="2"/>
  <c r="E73" i="2" s="1"/>
  <c r="D71" i="2"/>
  <c r="E71" i="2" s="1"/>
  <c r="D70" i="2"/>
  <c r="E70" i="2" s="1"/>
  <c r="D69" i="2"/>
  <c r="E69" i="2" s="1"/>
  <c r="D68" i="2"/>
  <c r="D65" i="2"/>
  <c r="E65" i="2" s="1"/>
  <c r="D63" i="2"/>
  <c r="E63" i="2" s="1"/>
  <c r="D62" i="2"/>
  <c r="D61" i="2"/>
  <c r="E61" i="2" s="1"/>
  <c r="D60" i="2"/>
  <c r="E60" i="2" s="1"/>
  <c r="D59" i="2"/>
  <c r="E59" i="2" s="1"/>
  <c r="D58" i="2"/>
  <c r="E58" i="2" s="1"/>
  <c r="D57" i="2"/>
  <c r="E57" i="2" s="1"/>
  <c r="D56" i="2"/>
  <c r="E56" i="2" s="1"/>
  <c r="D55" i="2"/>
  <c r="E55" i="2" s="1"/>
  <c r="D54" i="2"/>
  <c r="E54" i="2" s="1"/>
  <c r="D53" i="2"/>
  <c r="E53" i="2" s="1"/>
  <c r="D51" i="2"/>
  <c r="E51" i="2" s="1"/>
  <c r="D49" i="2"/>
  <c r="E49" i="2" s="1"/>
  <c r="D50" i="2"/>
  <c r="E50" i="2" s="1"/>
  <c r="D48" i="2"/>
  <c r="E48" i="2" s="1"/>
  <c r="D47" i="2"/>
  <c r="E47" i="2" s="1"/>
  <c r="D46" i="2"/>
  <c r="E46" i="2" s="1"/>
  <c r="D45" i="2"/>
  <c r="E45" i="2" s="1"/>
  <c r="D44" i="2"/>
  <c r="E44" i="2" s="1"/>
  <c r="D43" i="2"/>
  <c r="E43" i="2" s="1"/>
  <c r="D42" i="2"/>
  <c r="E42" i="2" s="1"/>
  <c r="D41" i="2"/>
  <c r="E41" i="2" s="1"/>
  <c r="D40" i="2"/>
  <c r="E40" i="2" s="1"/>
  <c r="D39" i="2"/>
  <c r="E39" i="2" s="1"/>
  <c r="D37" i="2"/>
  <c r="D35" i="2"/>
  <c r="E35" i="2" s="1"/>
  <c r="D34" i="2"/>
  <c r="E34" i="2" s="1"/>
  <c r="D33" i="2"/>
  <c r="E33" i="2" s="1"/>
  <c r="D32" i="2"/>
  <c r="E32" i="2" s="1"/>
  <c r="D31" i="2"/>
  <c r="E31" i="2" s="1"/>
  <c r="D30" i="2"/>
  <c r="D29" i="2"/>
  <c r="E29" i="2" s="1"/>
  <c r="D28" i="2"/>
  <c r="E28" i="2" s="1"/>
  <c r="D27" i="2"/>
  <c r="E27" i="2" s="1"/>
  <c r="D24" i="2"/>
  <c r="E24" i="2" s="1"/>
  <c r="D23" i="2"/>
  <c r="E23" i="2" s="1"/>
  <c r="D21" i="2"/>
  <c r="E21" i="2" s="1"/>
  <c r="D19" i="2"/>
  <c r="E19" i="2" s="1"/>
  <c r="D18" i="2"/>
  <c r="E18" i="2" s="1"/>
  <c r="D12" i="2"/>
  <c r="E12" i="2" s="1"/>
  <c r="D11" i="2"/>
  <c r="E11" i="2" s="1"/>
  <c r="D10" i="2"/>
  <c r="E10" i="2" s="1"/>
  <c r="D9" i="2"/>
  <c r="E9" i="2" s="1"/>
  <c r="D8" i="2"/>
  <c r="E8" i="2" s="1"/>
  <c r="D6" i="2"/>
  <c r="E6" i="2" s="1"/>
  <c r="D5" i="2"/>
  <c r="E5" i="2" s="1"/>
  <c r="D3" i="2"/>
  <c r="E3" i="2" s="1"/>
  <c r="E88" i="2"/>
  <c r="E84" i="2"/>
  <c r="D90" i="2"/>
  <c r="E68" i="2"/>
  <c r="E62" i="2"/>
  <c r="E37" i="2"/>
  <c r="E30" i="2"/>
  <c r="D15" i="2"/>
  <c r="E15" i="2" s="1"/>
  <c r="D16" i="2"/>
  <c r="E16" i="2" s="1"/>
  <c r="M4" i="7" l="1"/>
  <c r="E38" i="2"/>
  <c r="Q47" i="6"/>
  <c r="Q46" i="6"/>
  <c r="R48" i="6" s="1"/>
  <c r="S48" i="6" s="1"/>
  <c r="T48" i="6" s="1"/>
  <c r="I39" i="6"/>
  <c r="P38" i="6"/>
  <c r="O38" i="6"/>
  <c r="P43" i="6" s="1"/>
  <c r="J38" i="6"/>
  <c r="F38" i="6"/>
  <c r="N33" i="6"/>
  <c r="I33" i="6"/>
  <c r="I32" i="6"/>
  <c r="E38" i="6"/>
  <c r="I31" i="6"/>
  <c r="I25" i="6"/>
  <c r="G22" i="6"/>
  <c r="G17" i="6" s="1"/>
  <c r="I19" i="6"/>
  <c r="N11" i="6"/>
  <c r="M11" i="6"/>
  <c r="I11" i="6"/>
  <c r="H11" i="6"/>
  <c r="G11" i="6"/>
  <c r="E11" i="6"/>
  <c r="S43" i="5"/>
  <c r="T43" i="5" s="1"/>
  <c r="R43" i="5"/>
  <c r="Q42" i="5"/>
  <c r="Q43" i="5" s="1"/>
  <c r="Q31" i="5"/>
  <c r="O31" i="5"/>
  <c r="I31" i="5"/>
  <c r="E31" i="5"/>
  <c r="H30" i="5"/>
  <c r="L28" i="5"/>
  <c r="H28" i="5"/>
  <c r="L27" i="5"/>
  <c r="H27" i="5"/>
  <c r="H25" i="5"/>
  <c r="L24" i="5"/>
  <c r="H24" i="5"/>
  <c r="L23" i="5"/>
  <c r="H23" i="5"/>
  <c r="H22" i="5"/>
  <c r="H21" i="5"/>
  <c r="M20" i="5"/>
  <c r="H20" i="5"/>
  <c r="M19" i="5"/>
  <c r="L35" i="5" s="1"/>
  <c r="H19" i="5"/>
  <c r="H17" i="5" s="1"/>
  <c r="E17" i="5"/>
  <c r="H15" i="5"/>
  <c r="J13" i="5"/>
  <c r="D34" i="5"/>
  <c r="S48" i="4"/>
  <c r="T48" i="4" s="1"/>
  <c r="R48" i="4"/>
  <c r="Q48" i="4"/>
  <c r="Q47" i="4"/>
  <c r="E44" i="4"/>
  <c r="Q35" i="4"/>
  <c r="O35" i="4"/>
  <c r="L35" i="4"/>
  <c r="L38" i="4" s="1"/>
  <c r="I35" i="4"/>
  <c r="D35" i="4"/>
  <c r="E43" i="4" s="1"/>
  <c r="H32" i="4"/>
  <c r="K30" i="4"/>
  <c r="H30" i="4"/>
  <c r="F30" i="4"/>
  <c r="L29" i="4"/>
  <c r="H29" i="4"/>
  <c r="H27" i="4"/>
  <c r="L26" i="4"/>
  <c r="H26" i="4"/>
  <c r="H25" i="4"/>
  <c r="H24" i="4"/>
  <c r="M23" i="4"/>
  <c r="L23" i="4"/>
  <c r="H23" i="4"/>
  <c r="M22" i="4"/>
  <c r="H22" i="4"/>
  <c r="E20" i="4"/>
  <c r="E35" i="4" s="1"/>
  <c r="L18" i="4"/>
  <c r="H18" i="4"/>
  <c r="H11" i="4" s="1"/>
  <c r="M17" i="4"/>
  <c r="H17" i="4"/>
  <c r="H16" i="4"/>
  <c r="L14" i="4"/>
  <c r="H14" i="4"/>
  <c r="L13" i="4"/>
  <c r="H13" i="4"/>
  <c r="E41" i="6" l="1"/>
  <c r="E43" i="6" s="1"/>
  <c r="E39" i="6"/>
  <c r="D36" i="5"/>
  <c r="M35" i="4"/>
  <c r="L39" i="4" s="1"/>
  <c r="L41" i="4" s="1"/>
  <c r="E46" i="4"/>
  <c r="M38" i="6"/>
  <c r="M41" i="6" s="1"/>
  <c r="L34" i="5"/>
  <c r="L37" i="5" s="1"/>
  <c r="I22" i="6"/>
  <c r="I17" i="6" s="1"/>
  <c r="I38" i="6" s="1"/>
  <c r="D38" i="4"/>
  <c r="D40" i="4" s="1"/>
  <c r="H20" i="4"/>
  <c r="H35" i="4" s="1"/>
  <c r="H40" i="4" s="1"/>
  <c r="N38" i="6"/>
  <c r="M42" i="6" s="1"/>
  <c r="Q48" i="6"/>
  <c r="O40" i="4"/>
  <c r="O41" i="4" s="1"/>
  <c r="H36" i="5"/>
  <c r="N44" i="6" l="1"/>
  <c r="N45" i="6" s="1"/>
  <c r="M43" i="6"/>
  <c r="L38" i="5"/>
  <c r="L42" i="4"/>
  <c r="J13" i="3"/>
  <c r="L13" i="3"/>
  <c r="H14" i="3"/>
  <c r="L14" i="3"/>
  <c r="M17" i="3"/>
  <c r="H19" i="3"/>
  <c r="M22" i="3"/>
  <c r="E23" i="3"/>
  <c r="H25" i="3"/>
  <c r="D25" i="3" s="1"/>
  <c r="M25" i="3"/>
  <c r="H26" i="3"/>
  <c r="D26" i="3" s="1"/>
  <c r="M26" i="3"/>
  <c r="H27" i="3"/>
  <c r="D27" i="3" s="1"/>
  <c r="M27" i="3"/>
  <c r="D28" i="3"/>
  <c r="H28" i="3"/>
  <c r="M28" i="3"/>
  <c r="H29" i="3"/>
  <c r="L29" i="3"/>
  <c r="D29" i="3" s="1"/>
  <c r="D30" i="3"/>
  <c r="H30" i="3"/>
  <c r="L30" i="3"/>
  <c r="H31" i="3"/>
  <c r="K31" i="3"/>
  <c r="L31" i="3" s="1"/>
  <c r="Q31" i="3"/>
  <c r="Q45" i="3" s="1"/>
  <c r="Q50" i="3" s="1"/>
  <c r="D32" i="3"/>
  <c r="H32" i="3"/>
  <c r="L32" i="3"/>
  <c r="H34" i="3"/>
  <c r="D34" i="3" s="1"/>
  <c r="M34" i="3"/>
  <c r="H35" i="3"/>
  <c r="D35" i="3" s="1"/>
  <c r="M35" i="3"/>
  <c r="H36" i="3"/>
  <c r="D36" i="3" s="1"/>
  <c r="M36" i="3"/>
  <c r="D38" i="3"/>
  <c r="H38" i="3"/>
  <c r="L38" i="3"/>
  <c r="H41" i="3"/>
  <c r="D41" i="3" s="1"/>
  <c r="L41" i="3"/>
  <c r="H43" i="3"/>
  <c r="L43" i="3"/>
  <c r="H44" i="3"/>
  <c r="D44" i="3" s="1"/>
  <c r="L44" i="3"/>
  <c r="E45" i="3"/>
  <c r="I45" i="3"/>
  <c r="O45" i="3"/>
  <c r="D63" i="3"/>
  <c r="D49" i="3" l="1"/>
  <c r="D7" i="2"/>
  <c r="E7" i="2" s="1"/>
  <c r="D31" i="3"/>
  <c r="L45" i="3"/>
  <c r="L48" i="3" s="1"/>
  <c r="M45" i="3"/>
  <c r="L49" i="3" s="1"/>
  <c r="H11" i="3"/>
  <c r="O51" i="3"/>
  <c r="H23" i="3"/>
  <c r="H45" i="3" s="1"/>
  <c r="H50" i="3" s="1"/>
  <c r="D48" i="3" l="1"/>
  <c r="D50" i="3" s="1"/>
  <c r="D62" i="3"/>
  <c r="D64" i="3" s="1"/>
  <c r="D67" i="2" l="1"/>
  <c r="E67" i="2" s="1"/>
  <c r="D26" i="2" l="1"/>
  <c r="E26" i="2" s="1"/>
  <c r="D14" i="2"/>
  <c r="E14" i="2" s="1"/>
  <c r="D17" i="2"/>
  <c r="E17" i="2" s="1"/>
  <c r="D2" i="2"/>
  <c r="D66" i="2"/>
  <c r="E66" i="2" s="1"/>
  <c r="D22" i="2"/>
  <c r="E22" i="2" s="1"/>
  <c r="D36" i="2"/>
  <c r="E36" i="2" s="1"/>
  <c r="D52" i="2"/>
  <c r="E52" i="2" s="1"/>
  <c r="D64" i="2"/>
  <c r="E64" i="2" s="1"/>
  <c r="D72" i="2"/>
  <c r="E72" i="2" s="1"/>
  <c r="D4" i="2"/>
  <c r="E4" i="2" s="1"/>
  <c r="D20" i="2"/>
  <c r="E20" i="2" s="1"/>
  <c r="E2" i="2" l="1"/>
  <c r="D99" i="2"/>
  <c r="D92" i="2"/>
  <c r="E90" i="2" l="1"/>
  <c r="E92" i="2" s="1"/>
  <c r="D91" i="2" l="1"/>
  <c r="D93" i="2" s="1"/>
</calcChain>
</file>

<file path=xl/comments1.xml><?xml version="1.0" encoding="utf-8"?>
<comments xmlns="http://schemas.openxmlformats.org/spreadsheetml/2006/main">
  <authors>
    <author>Valene G. Miñoza</author>
  </authors>
  <commentList>
    <comment ref="C34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
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</t>
        </r>
      </text>
    </comment>
  </commentList>
</comments>
</file>

<file path=xl/comments2.xml><?xml version="1.0" encoding="utf-8"?>
<comments xmlns="http://schemas.openxmlformats.org/spreadsheetml/2006/main">
  <authors>
    <author>Asus</author>
  </authors>
  <commentList>
    <comment ref="F31" authorId="0" shapeId="0">
      <text>
        <r>
          <rPr>
            <b/>
            <sz val="9"/>
            <rFont val="Times New Roman"/>
            <family val="1"/>
          </rPr>
          <t>Asus:</t>
        </r>
        <r>
          <rPr>
            <sz val="9"/>
            <rFont val="Times New Roman"/>
            <family val="1"/>
          </rPr>
          <t xml:space="preserve">
Carrying amount as of Dec 2021</t>
        </r>
      </text>
    </comment>
  </commentList>
</comments>
</file>

<file path=xl/sharedStrings.xml><?xml version="1.0" encoding="utf-8"?>
<sst xmlns="http://schemas.openxmlformats.org/spreadsheetml/2006/main" count="993" uniqueCount="346">
  <si>
    <r>
      <t>Field Office____</t>
    </r>
    <r>
      <rPr>
        <b/>
        <u/>
        <sz val="12"/>
        <color theme="1"/>
        <rFont val="Arial"/>
        <family val="2"/>
      </rPr>
      <t>10</t>
    </r>
    <r>
      <rPr>
        <b/>
        <sz val="12"/>
        <color theme="1"/>
        <rFont val="Arial"/>
        <family val="2"/>
      </rPr>
      <t>__</t>
    </r>
  </si>
  <si>
    <t>Breakdown of Accumulated Surplus/(Deficit)</t>
  </si>
  <si>
    <t>Fund Cluster 1</t>
  </si>
  <si>
    <t>Particulars</t>
  </si>
  <si>
    <t>Amount</t>
  </si>
  <si>
    <t>AFFECTED ACCOUNTS</t>
  </si>
  <si>
    <t>CY 2020 and Prior Years Adjustments affecting ASD Beg. Bal.</t>
  </si>
  <si>
    <t>INCOME STATEMENT</t>
  </si>
  <si>
    <t>BALANCE SHEET</t>
  </si>
  <si>
    <t>Account</t>
  </si>
  <si>
    <t>Debit</t>
  </si>
  <si>
    <t>Credit</t>
  </si>
  <si>
    <t>Net Effect</t>
  </si>
  <si>
    <t>Net Effect on Assets</t>
  </si>
  <si>
    <t>Net Effect on Liabilities</t>
  </si>
  <si>
    <t>Accumulated Surplus/(Deficit), Beginning Balance 1/1/2022</t>
  </si>
  <si>
    <t>INCOME of prior years</t>
  </si>
  <si>
    <t>Under-recording/understatement of income of prior years:</t>
  </si>
  <si>
    <t>unrecorded liquidated damages</t>
  </si>
  <si>
    <t>Miscellaneous income</t>
  </si>
  <si>
    <t>Due to Pag-ibig</t>
  </si>
  <si>
    <t xml:space="preserve"> Adjustment on LGU liquidation of prior years</t>
  </si>
  <si>
    <t>Due from LGU</t>
  </si>
  <si>
    <t>EXPENSES of prior years</t>
  </si>
  <si>
    <t>Under-recording/understatement of expenses of prior years:</t>
  </si>
  <si>
    <t>Accounts payable</t>
  </si>
  <si>
    <t>Salaries and Wages - Casual and Contracutal</t>
  </si>
  <si>
    <t>Retirement and Life Insurance Premiums</t>
  </si>
  <si>
    <t>Traveling Expense-Local</t>
  </si>
  <si>
    <t>Training Expenses</t>
  </si>
  <si>
    <t>Office Supplies Expenses</t>
  </si>
  <si>
    <t>Food Supplies Expenses</t>
  </si>
  <si>
    <t>Food Supplies Inventory</t>
  </si>
  <si>
    <t xml:space="preserve">Other Supplies and Materials Expenses </t>
  </si>
  <si>
    <t>Subsidies - Others</t>
  </si>
  <si>
    <t xml:space="preserve">Other Supplies and Materials for Distribution </t>
  </si>
  <si>
    <t>Welfare Goods for Distribution</t>
  </si>
  <si>
    <t>Fuel, Oil and Lubricants Expenses</t>
  </si>
  <si>
    <t>Performance Based Bonus (Civilian)</t>
  </si>
  <si>
    <t>Water Expenses</t>
  </si>
  <si>
    <t>Electricity Expenses</t>
  </si>
  <si>
    <t>Insurance Expenses</t>
  </si>
  <si>
    <t>Internet Subscription Expenses</t>
  </si>
  <si>
    <t>Representation Expenses</t>
  </si>
  <si>
    <t>Drugs and Medicines Expenses</t>
  </si>
  <si>
    <t>Rent/Lease Expenses - Equipment</t>
  </si>
  <si>
    <t>Semi-Expendable Office Equipment Expenses</t>
  </si>
  <si>
    <t>Semi-Expendable Office Equipment</t>
  </si>
  <si>
    <t>Semi-Expendable Medical Equipment Expenses</t>
  </si>
  <si>
    <t>Semi-Expendable Machinery and Equipment Expenses - ICT Equipment</t>
  </si>
  <si>
    <t>Semi-Expendable Machinery and Equipment Expenses - ICT Equipment Expenses</t>
  </si>
  <si>
    <t>Semi-Expendable Technical and Scientific equipment Expenses</t>
  </si>
  <si>
    <t>Security Services</t>
  </si>
  <si>
    <t>Other Professional Services</t>
  </si>
  <si>
    <t>Under Recording of Repairs and Maintenance- Other Machinery &amp; Equipment</t>
  </si>
  <si>
    <t>Semi-Expendable Machinery &amp; Equipment Expenses</t>
  </si>
  <si>
    <t>Repairs and Maintenance - Building and Other Structures - Buildings</t>
  </si>
  <si>
    <t>Repairs and Maintenance - Transportation Equipment - Motor Vehicles</t>
  </si>
  <si>
    <t>Labor and Wages</t>
  </si>
  <si>
    <t>Other Maintenance and Operating Expenses</t>
  </si>
  <si>
    <t>Semi-Expendable Furnitures and Fixtures Expenses</t>
  </si>
  <si>
    <t>Semi-Expendable Semi-Expendable Communication Equipment Expenses</t>
  </si>
  <si>
    <t>Printing and Publication Expenses</t>
  </si>
  <si>
    <t>Depreciation - Sports Equipment</t>
  </si>
  <si>
    <t>Depreciation - Communication Equipment</t>
  </si>
  <si>
    <t>Depreciation - Vehicles</t>
  </si>
  <si>
    <t>Depreciation - Books</t>
  </si>
  <si>
    <t>Depreciation - Furnitures and Fixture</t>
  </si>
  <si>
    <t>Depreciation - Computer Software</t>
  </si>
  <si>
    <t>Depreciation - Office Equipment</t>
  </si>
  <si>
    <t>Depreciation - ICT Equipment</t>
  </si>
  <si>
    <t>Over-recording/overstatement of expenses of prior years:</t>
  </si>
  <si>
    <t>over-recorded other professional services</t>
  </si>
  <si>
    <t>over-recording of Other Maintenance and Operating Expenses</t>
  </si>
  <si>
    <t>Other MOOE</t>
  </si>
  <si>
    <t>over-recording of salaries and wages - contractual in accounts payable</t>
  </si>
  <si>
    <t>over-recording of Other Supplies Expenses in accounts payable</t>
  </si>
  <si>
    <t xml:space="preserve">over-recording of Rent/Lease Expenses - Equipment </t>
  </si>
  <si>
    <t>over-recorded travelling expenses in accounts payable</t>
  </si>
  <si>
    <t>over-recorded telephone expenses</t>
  </si>
  <si>
    <t>Telephone Expenses-Mobile</t>
  </si>
  <si>
    <t xml:space="preserve">over-recorded subsidies </t>
  </si>
  <si>
    <t>over-recording  of repairs-Other Machinery &amp; Equipment in accounts payable</t>
  </si>
  <si>
    <t>over-recording  of Semi Expendable Office Expenses</t>
  </si>
  <si>
    <t>Over-recording of Depreciation Expense - Communication Equipment</t>
  </si>
  <si>
    <t>Over-recording of Depreciation Expense - Leased Asset, Machinery and Equipment</t>
  </si>
  <si>
    <t>Accumulated Depreciation Lease Assets, Machinery &amp; Equipment</t>
  </si>
  <si>
    <t>Liquidation of Prior Year's Cash advances and Fund Transfer:</t>
  </si>
  <si>
    <t>liquidation of LGUs</t>
  </si>
  <si>
    <t>Due from LGUs</t>
  </si>
  <si>
    <t>liquidation of advances to SDOs</t>
  </si>
  <si>
    <t>Advances to SDOs</t>
  </si>
  <si>
    <t>liquidation of PCF</t>
  </si>
  <si>
    <t>Petty Cash Fund</t>
  </si>
  <si>
    <t>liquidation of Advances for Payroll</t>
  </si>
  <si>
    <t>Advances for Payroll</t>
  </si>
  <si>
    <t>Liquidation of NGOs/POs of prior years fund transfer</t>
  </si>
  <si>
    <t>Due from NGOs/Pos</t>
  </si>
  <si>
    <t xml:space="preserve">Liquidation of welfare goods </t>
  </si>
  <si>
    <t>Liquidation of NGAs</t>
  </si>
  <si>
    <t>Due from NGAs</t>
  </si>
  <si>
    <t>Other Adjustments:</t>
  </si>
  <si>
    <t>Unrecorded Subsidy to Regional Offices/Staff Bureaus</t>
  </si>
  <si>
    <t>Unrecorded Financial Assistance to NGAs</t>
  </si>
  <si>
    <t>Unrecorded Subsidy from CO</t>
  </si>
  <si>
    <t>Semi-Expendable Information and Communications Tech. Equipment</t>
  </si>
  <si>
    <t>Motor Vehicles</t>
  </si>
  <si>
    <t>Unrecorded Sports Equipment</t>
  </si>
  <si>
    <t>Returned fund from LGUs</t>
  </si>
  <si>
    <t>Erroneous entry on Subsidies Others</t>
  </si>
  <si>
    <t>Reclassification from PPE to SE - Communication Equipment</t>
  </si>
  <si>
    <t>Reclassification from PPE to SE - Other Structure</t>
  </si>
  <si>
    <t>Reclassification from PPE to SE - Technical &amp; scientific</t>
  </si>
  <si>
    <t>Reclassification from PPE to SE - Other Machinery &amp; Equipement</t>
  </si>
  <si>
    <t>Accounts Payable</t>
  </si>
  <si>
    <t>Erroneous entry on Welfare Goods for Distribution</t>
  </si>
  <si>
    <t>Cash Treasury Agency</t>
  </si>
  <si>
    <t>Adjustment to PYA accounts:</t>
  </si>
  <si>
    <t>Adjustment to Fin. Performance CY 2022:</t>
  </si>
  <si>
    <t>Adjustment to Fin. Position CY 2022:</t>
  </si>
  <si>
    <t>Adjustment to ASD Beg. Bal.</t>
  </si>
  <si>
    <t>Ending ASD</t>
  </si>
  <si>
    <t>Asset</t>
  </si>
  <si>
    <t>Beginning ASD</t>
  </si>
  <si>
    <t>Liabilities</t>
  </si>
  <si>
    <t>Prior Years Adjustment</t>
  </si>
  <si>
    <t>Income less Expenses</t>
  </si>
  <si>
    <t>ASD</t>
  </si>
  <si>
    <t>Net Assets</t>
  </si>
  <si>
    <t>july</t>
  </si>
  <si>
    <t>aug</t>
  </si>
  <si>
    <t>Prepared by:</t>
  </si>
  <si>
    <t>Certified correct:</t>
  </si>
  <si>
    <t>HANILYN T. CIMAFRANCA, CPA</t>
  </si>
  <si>
    <t>Administrative Officer II</t>
  </si>
  <si>
    <t>Regional Accountant</t>
  </si>
  <si>
    <t>Adjustements:</t>
  </si>
  <si>
    <t xml:space="preserve">Overbooking of liquidation of NGOs/POs of prior year fund transfer </t>
  </si>
  <si>
    <t>Liquidation of LGUs of prior years fund transfer</t>
  </si>
  <si>
    <t>Remittance of unremitted withheld taxes of Prior Years</t>
  </si>
  <si>
    <t>unrecorded training expense</t>
  </si>
  <si>
    <t>underrecorded advertising expenses</t>
  </si>
  <si>
    <t>underrecorded other professional services</t>
  </si>
  <si>
    <t>underrecorded representation expenses</t>
  </si>
  <si>
    <t>unrecorded semi-expendable ICT expense</t>
  </si>
  <si>
    <t>unrecorded depreciation expenses- Office Equipment</t>
  </si>
  <si>
    <t>reclassification of PPE to Semi-Expendable</t>
  </si>
  <si>
    <t>unrecorded semi-expendable furniture &amp; fixtures expense</t>
  </si>
  <si>
    <t>over-recording of training expenses</t>
  </si>
  <si>
    <t>Due to PHIC</t>
  </si>
  <si>
    <t>Other Payable</t>
  </si>
  <si>
    <t>over-recording of depreciation expense</t>
  </si>
  <si>
    <t>unrecorded interest income and deposit to BTr on bank deposits</t>
  </si>
  <si>
    <t xml:space="preserve">         Training Expenses</t>
  </si>
  <si>
    <t>overbooking liquidation of advances to SDOs in AP Account</t>
  </si>
  <si>
    <t>Overbooking Liquidations to Central Office - CCL</t>
  </si>
  <si>
    <t>Financial Analyst III (SOE)</t>
  </si>
  <si>
    <t>Name</t>
  </si>
  <si>
    <t>DAHLIA T. DIMAOCOR</t>
  </si>
  <si>
    <t>Reviewed by:</t>
  </si>
  <si>
    <t>Adjustment to ASD beg. Bal.</t>
  </si>
  <si>
    <t>Adjustment to Fin. Position CY 2021:</t>
  </si>
  <si>
    <t>Adjustment to Fin. Performance CY 2021:</t>
  </si>
  <si>
    <t>Note: sample entries</t>
  </si>
  <si>
    <t>Balance as of December 31, 2022</t>
  </si>
  <si>
    <t>Due from NGOs/POs</t>
  </si>
  <si>
    <t xml:space="preserve">Underbooking of liquidation of LGUs of prior year fund transfer </t>
  </si>
  <si>
    <t>Liquidation of SDOs</t>
  </si>
  <si>
    <t>Accum. Dep.- ICT</t>
  </si>
  <si>
    <t>Error recording expense should be inventory</t>
  </si>
  <si>
    <t>Semi- Expendable- Furniture &amp; Fixtures</t>
  </si>
  <si>
    <t>Property, Plant &amp; Equipment</t>
  </si>
  <si>
    <t>Accum. Dep. - Office Equipment</t>
  </si>
  <si>
    <t>Semi- Expendable- ICT</t>
  </si>
  <si>
    <t>Advertising Expenses</t>
  </si>
  <si>
    <t>Due to BIR</t>
  </si>
  <si>
    <t>Return of Unutilized Funds of Prior Years</t>
  </si>
  <si>
    <t>Other Adjustments</t>
  </si>
  <si>
    <t>unrecorded adjustment for the remittance of interest income</t>
  </si>
  <si>
    <t>error (overstatement) in recording donations</t>
  </si>
  <si>
    <t>staled check of prior year (MDS) with intention to replace</t>
  </si>
  <si>
    <t>Over-recording/overstatement of income of prior years:</t>
  </si>
  <si>
    <t>specify</t>
  </si>
  <si>
    <t>unrecorded community refunds</t>
  </si>
  <si>
    <t>Others
(Closing of Cash, Treasury/ Agency Deposit, Regular and Transfer of PPE</t>
  </si>
  <si>
    <t>Fund Cluster 102 (Consolidated)</t>
  </si>
  <si>
    <t>As at December 31, 2022</t>
  </si>
  <si>
    <r>
      <rPr>
        <b/>
        <sz val="12"/>
        <color theme="1"/>
        <rFont val="Arial"/>
        <family val="2"/>
      </rPr>
      <t xml:space="preserve">Field Office No. </t>
    </r>
    <r>
      <rPr>
        <b/>
        <u/>
        <sz val="12"/>
        <color theme="1"/>
        <rFont val="Arial"/>
        <family val="2"/>
      </rPr>
      <t>X</t>
    </r>
  </si>
  <si>
    <t>Fund Cluster 4</t>
  </si>
  <si>
    <t>Interest income</t>
  </si>
  <si>
    <t>Cash, LCCA</t>
  </si>
  <si>
    <t xml:space="preserve">unrecorded donations </t>
  </si>
  <si>
    <t>Income from Grants</t>
  </si>
  <si>
    <t>Subsidy from NG</t>
  </si>
  <si>
    <t>unrecorded travelling expenses</t>
  </si>
  <si>
    <t>Travelling</t>
  </si>
  <si>
    <t>Remittance to BTr</t>
  </si>
  <si>
    <t>Other Payables</t>
  </si>
  <si>
    <t>supplies expense</t>
  </si>
  <si>
    <t>Supplies Inventory</t>
  </si>
  <si>
    <t>Subsidies</t>
  </si>
  <si>
    <t>Liquidation of LGUs</t>
  </si>
  <si>
    <t xml:space="preserve">as of 3rd </t>
  </si>
  <si>
    <t xml:space="preserve">total 3rd </t>
  </si>
  <si>
    <t>Fund Cluster 6</t>
  </si>
  <si>
    <t>unrecorded Service Charge</t>
  </si>
  <si>
    <t>Service Charge</t>
  </si>
  <si>
    <t>close remittance to BTr</t>
  </si>
  <si>
    <t>BTr</t>
  </si>
  <si>
    <t>Error recording Service Charge</t>
  </si>
  <si>
    <t>receipt of rollback from SLPAs</t>
  </si>
  <si>
    <t>Field Office X</t>
  </si>
  <si>
    <t>Fund Cluster 7</t>
  </si>
  <si>
    <t>CY 2021. and Prior Years Adjustments affecting ASD Beg. Bal.</t>
  </si>
  <si>
    <t>Unrecorded liquidated damages</t>
  </si>
  <si>
    <t>Other Receivables</t>
  </si>
  <si>
    <t xml:space="preserve"> Unrecorded scrap sale</t>
  </si>
  <si>
    <t>Overrecorded liquidated damages</t>
  </si>
  <si>
    <t>Over recording of Other MOOE</t>
  </si>
  <si>
    <t xml:space="preserve">Other MOOE </t>
  </si>
  <si>
    <t>Cash in Bank-Local Currency, Current Account - DBP</t>
  </si>
  <si>
    <t xml:space="preserve">Cash, Agency Deposits, Trust </t>
  </si>
  <si>
    <t>for restatement AS ang bangga and then ang naa sa BS</t>
  </si>
  <si>
    <t>Due to Centra Office</t>
  </si>
  <si>
    <t xml:space="preserve">  Depreciation-Building</t>
  </si>
  <si>
    <t>Depreciation-Building</t>
  </si>
  <si>
    <t>Accumulated Depreciation-Building</t>
  </si>
  <si>
    <t>Liquidation of Prior Year's Receipt of Trust Funds:</t>
  </si>
  <si>
    <t>liquidations to Central Office - Kapatiran</t>
  </si>
  <si>
    <t>Due to CO</t>
  </si>
  <si>
    <t>Liquidations to Central Office - CCL</t>
  </si>
  <si>
    <t>liquidation of advances to SDO</t>
  </si>
  <si>
    <t>sept</t>
  </si>
  <si>
    <t xml:space="preserve">2nd quarter </t>
  </si>
  <si>
    <t>JADE V. LUSTRE, CPA</t>
  </si>
  <si>
    <t>Accumulated Surplus/(Deficit), Beginning Balance 1/1/2023</t>
  </si>
  <si>
    <t>Balance as of March 31, 2023</t>
  </si>
  <si>
    <t>Due to Philhealth</t>
  </si>
  <si>
    <t>Account Code</t>
  </si>
  <si>
    <t>ICT Office Supplies Expenses</t>
  </si>
  <si>
    <t>Postage and Courier Services</t>
  </si>
  <si>
    <t>Subsidy from Regional Office/Staff Bureau</t>
  </si>
  <si>
    <t>CY 2021 and Prior Years Adjustments affecting ASD Beg. Bal.</t>
  </si>
  <si>
    <t>Closing of FC 4  to FC1</t>
  </si>
  <si>
    <t>UACS Code</t>
  </si>
  <si>
    <t>Overstatement on COS</t>
  </si>
  <si>
    <t>Erroneous entry on accounts payable</t>
  </si>
  <si>
    <t>Cash, LCCA - LBP</t>
  </si>
  <si>
    <t>Adjustment:</t>
  </si>
  <si>
    <t>Unrecorded PhilHealth Remittance</t>
  </si>
  <si>
    <t>Janitorial Services</t>
  </si>
  <si>
    <t>Semi-Expendable Machinery and Equipment Expenses - Office Equipment</t>
  </si>
  <si>
    <t>Prizes</t>
  </si>
  <si>
    <t>over-recorded liquidation for welfare goods held for distribution</t>
  </si>
  <si>
    <t>As of June 30, 2023</t>
  </si>
  <si>
    <t>Remittance to Bureau of Treasury</t>
  </si>
  <si>
    <t>VALENE G. MIÑOZA</t>
  </si>
  <si>
    <t>Balance as of June 30, 2023</t>
  </si>
  <si>
    <t>Welfare Goods Expenses</t>
  </si>
  <si>
    <t>This is a wrong entry on Check ADA DJ, this should have been Welfare Goods for Distribution c/o Kyra on recon if this has already been taken up for adjustment update: For JEV on June 2023 by Kyra</t>
  </si>
  <si>
    <t>Rent/Lease Expenses - Motor Vehicles</t>
  </si>
  <si>
    <t xml:space="preserve">Miscellaneous Income </t>
  </si>
  <si>
    <t>Medical,Dental &amp; Laboratory Supplies Expenses</t>
  </si>
  <si>
    <t xml:space="preserve">Medical, Dental and Laboratory Supplies Inventory </t>
  </si>
  <si>
    <t>Semi-expendable Furniture and Fixtures Expenses</t>
  </si>
  <si>
    <t>Semi-Expendable Furniture and Fixtures</t>
  </si>
  <si>
    <t>Semi-Expendable - Other Machinery and Equipment Expenses</t>
  </si>
  <si>
    <t>Semi-Expendable Other Machinery and Equipment</t>
  </si>
  <si>
    <t>Semi-expendable Machinery and Equipment Expenses - Communications Equipment</t>
  </si>
  <si>
    <t xml:space="preserve">Semi-Expendable Communication Equipment </t>
  </si>
  <si>
    <t>Rent/Lease Expenses - Buildings and Structures</t>
  </si>
  <si>
    <t>Semi-expendable Machinery and Equipment Expenses - Machinery</t>
  </si>
  <si>
    <t>Semi-Expendable Machinery</t>
  </si>
  <si>
    <t>Semi-expendable Machinery and Equipment Expenses - Medical Equipment</t>
  </si>
  <si>
    <t>Semi-Expendable - Medical Equipment</t>
  </si>
  <si>
    <t>Due to Pag-Ibig Premium</t>
  </si>
  <si>
    <t>Reclassification of Due to Philhealth to Due to Pag Ibig</t>
  </si>
  <si>
    <t>Depreciation - IT Equipment</t>
  </si>
  <si>
    <t>Accumulated Depreciation-Information and Communication Technology Equipment</t>
  </si>
  <si>
    <t xml:space="preserve">Due to GSIS - Life and Retirement Premium </t>
  </si>
  <si>
    <t>Salaries and Wages-Contractual</t>
  </si>
  <si>
    <t xml:space="preserve">Double booking of Due to GSIS - Life and Retirement Premium </t>
  </si>
  <si>
    <t>Double booking of Due to Pag Ibig MPL</t>
  </si>
  <si>
    <t>Due to PAG-IBIG Multi Purpose Loan</t>
  </si>
  <si>
    <t>Double booking of Due to Pag Ibig Premium</t>
  </si>
  <si>
    <t>Due to PAG-IBIG - Premium</t>
  </si>
  <si>
    <t>Erroneous entry on Due to Pag Ibig Premium</t>
  </si>
  <si>
    <t>PAG-IBIG Contributions (Civilian)</t>
  </si>
  <si>
    <t xml:space="preserve">Erroneous entry on Salaries Wages - Contractual </t>
  </si>
  <si>
    <t xml:space="preserve">Due to Philhealth </t>
  </si>
  <si>
    <t>Erroneous entry on Accounts Payable for CY 2020</t>
  </si>
  <si>
    <t>Semi-Expendable Information and Communications Technology Equipment</t>
  </si>
  <si>
    <t>Transportation and Delivery Expenses</t>
  </si>
  <si>
    <t xml:space="preserve">Due to GSIS -  Life and Retirement Premium </t>
  </si>
  <si>
    <t>Due to Pag-ibig - Premium</t>
  </si>
  <si>
    <t>As of September 30, 2023</t>
  </si>
  <si>
    <t>As of SEPTEMBER 30, 2023</t>
  </si>
  <si>
    <t>Semi-Expendable Technical and Scientific equipment</t>
  </si>
  <si>
    <t>Other Supplies Inventory</t>
  </si>
  <si>
    <t>Other Supplies and Materials Expenses</t>
  </si>
  <si>
    <t>Liquidations to RJJWC</t>
  </si>
  <si>
    <t>Balance as of July 31, 2023</t>
  </si>
  <si>
    <t>Fund Cluster 3</t>
  </si>
  <si>
    <t xml:space="preserve">JULY </t>
  </si>
  <si>
    <t>MDS CHECK DJ</t>
  </si>
  <si>
    <t>GOP CHECK DJ</t>
  </si>
  <si>
    <t>LGU LIQUIDATION</t>
  </si>
  <si>
    <t>SDO LIQUIDATION</t>
  </si>
  <si>
    <t xml:space="preserve">GJ </t>
  </si>
  <si>
    <t>TOTAL</t>
  </si>
  <si>
    <t xml:space="preserve">BREAKDOWN </t>
  </si>
  <si>
    <t>JULY MDS</t>
  </si>
  <si>
    <t>JULY GOP</t>
  </si>
  <si>
    <t>JULY GJ</t>
  </si>
  <si>
    <t>Semi-expendable Technical and Scientific Expenses</t>
  </si>
  <si>
    <t>Semi-expendable Technical and Scientific</t>
  </si>
  <si>
    <t>AUGUST</t>
  </si>
  <si>
    <t xml:space="preserve">MDS CHECK ADA DJ </t>
  </si>
  <si>
    <t>GOP CHECK ADA DJ</t>
  </si>
  <si>
    <t>LIQUIDATION OF SDO</t>
  </si>
  <si>
    <t>LIQUIDATION OF LGU</t>
  </si>
  <si>
    <t>GJ</t>
  </si>
  <si>
    <t>BREAKDOWN</t>
  </si>
  <si>
    <t>EXPENSE</t>
  </si>
  <si>
    <t>****</t>
  </si>
  <si>
    <t>Depreciation Lease Assets, Machinery &amp; Equipment</t>
  </si>
  <si>
    <t xml:space="preserve">LIQUIDATION OF STARPAY </t>
  </si>
  <si>
    <t xml:space="preserve">LIQUIDATION OF NGAS </t>
  </si>
  <si>
    <t>Liquidation of Other Receivables</t>
  </si>
  <si>
    <t>MDS CHECK ADA DJ</t>
  </si>
  <si>
    <t>Bank Charges</t>
  </si>
  <si>
    <t>Cash in Bank-Local Currency, Current Account - LBP</t>
  </si>
  <si>
    <t>Erroneous entry on Trust Liabilities CY 2020 &amp; 2021</t>
  </si>
  <si>
    <t>Trust Liabilities</t>
  </si>
  <si>
    <t>SEPTEMBER</t>
  </si>
  <si>
    <t>FOOD SUPPLIES INVENTORY BANGGA</t>
  </si>
  <si>
    <t>Drugs and Medicines Inventory</t>
  </si>
  <si>
    <t>Office Supplies Inventory</t>
  </si>
  <si>
    <t xml:space="preserve">DONE IN RESTATEMENT OF FS </t>
  </si>
  <si>
    <t>CR</t>
  </si>
  <si>
    <t>WALA PA NASULOD</t>
  </si>
  <si>
    <t>*****</t>
  </si>
  <si>
    <t>Liquidation of NGAs 2013</t>
  </si>
  <si>
    <t>cr</t>
  </si>
  <si>
    <t>Due to NGA's</t>
  </si>
  <si>
    <t>LIQUIDATION OF PCF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</si>
</sst>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i/>
      <sz val="12"/>
      <name val="Arial Narrow"/>
      <family val="2"/>
    </font>
    <font>
      <sz val="10"/>
      <name val="Arial"/>
      <family val="2"/>
    </font>
    <font>
      <sz val="12"/>
      <color rgb="FFFF0000"/>
      <name val="Arial Narrow"/>
      <family val="2"/>
    </font>
    <font>
      <i/>
      <sz val="12"/>
      <name val="Arial Narrow"/>
      <family val="2"/>
    </font>
    <font>
      <sz val="12"/>
      <color theme="0"/>
      <name val="Arial Narrow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2"/>
      <name val="Arial"/>
      <family val="2"/>
    </font>
    <font>
      <sz val="12"/>
      <color theme="1"/>
      <name val="Arial Unicode MS"/>
      <family val="2"/>
    </font>
    <font>
      <sz val="12"/>
      <color rgb="FFFFFF00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i/>
      <sz val="12"/>
      <color theme="1"/>
      <name val="Arial Narrow"/>
      <family val="2"/>
    </font>
    <font>
      <b/>
      <i/>
      <u val="singleAccounting"/>
      <sz val="12"/>
      <color theme="1"/>
      <name val="Arial Narrow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8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5" fontId="8" fillId="0" borderId="0"/>
  </cellStyleXfs>
  <cellXfs count="390">
    <xf numFmtId="0" fontId="0" fillId="0" borderId="0" xfId="0"/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vertical="center" wrapText="1"/>
    </xf>
    <xf numFmtId="164" fontId="6" fillId="0" borderId="0" xfId="5" applyFont="1" applyFill="1"/>
    <xf numFmtId="43" fontId="0" fillId="0" borderId="0" xfId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1" applyNumberFormat="1" applyFont="1"/>
    <xf numFmtId="0" fontId="12" fillId="0" borderId="0" xfId="6" applyFont="1" applyFill="1" applyAlignment="1"/>
    <xf numFmtId="164" fontId="12" fillId="0" borderId="0" xfId="6" applyNumberFormat="1" applyFont="1" applyFill="1" applyAlignment="1"/>
    <xf numFmtId="0" fontId="14" fillId="0" borderId="0" xfId="6" applyFont="1" applyFill="1" applyAlignment="1">
      <alignment horizontal="center"/>
    </xf>
    <xf numFmtId="0" fontId="15" fillId="0" borderId="0" xfId="6" applyFont="1" applyFill="1" applyAlignment="1">
      <alignment horizontal="center"/>
    </xf>
    <xf numFmtId="43" fontId="12" fillId="0" borderId="0" xfId="6" applyNumberFormat="1" applyFont="1" applyFill="1" applyAlignment="1"/>
    <xf numFmtId="0" fontId="3" fillId="0" borderId="0" xfId="6" applyFont="1" applyFill="1" applyAlignment="1">
      <alignment horizontal="left" indent="7"/>
    </xf>
    <xf numFmtId="164" fontId="3" fillId="0" borderId="0" xfId="6" applyNumberFormat="1" applyFont="1" applyFill="1" applyAlignment="1"/>
    <xf numFmtId="0" fontId="3" fillId="0" borderId="0" xfId="6" applyFont="1" applyFill="1" applyAlignment="1">
      <alignment horizontal="left" indent="13"/>
    </xf>
    <xf numFmtId="0" fontId="3" fillId="0" borderId="0" xfId="6" applyFont="1" applyFill="1" applyAlignment="1">
      <alignment horizontal="left" indent="14"/>
    </xf>
    <xf numFmtId="0" fontId="12" fillId="0" borderId="0" xfId="6" applyFont="1" applyFill="1" applyAlignment="1">
      <alignment horizontal="left" indent="7"/>
    </xf>
    <xf numFmtId="0" fontId="12" fillId="0" borderId="0" xfId="6" applyFont="1" applyFill="1" applyAlignment="1">
      <alignment horizontal="left" indent="14"/>
    </xf>
    <xf numFmtId="0" fontId="17" fillId="0" borderId="0" xfId="6" applyFont="1" applyFill="1" applyAlignment="1"/>
    <xf numFmtId="0" fontId="3" fillId="0" borderId="0" xfId="6" applyFont="1" applyFill="1" applyAlignment="1"/>
    <xf numFmtId="0" fontId="18" fillId="0" borderId="0" xfId="6" applyFont="1" applyFill="1" applyAlignment="1"/>
    <xf numFmtId="164" fontId="19" fillId="0" borderId="0" xfId="8" applyFont="1" applyFill="1" applyBorder="1"/>
    <xf numFmtId="164" fontId="3" fillId="0" borderId="0" xfId="7" applyFont="1" applyFill="1"/>
    <xf numFmtId="164" fontId="12" fillId="0" borderId="0" xfId="7" applyFont="1" applyFill="1"/>
    <xf numFmtId="0" fontId="12" fillId="0" borderId="6" xfId="6" applyFont="1" applyFill="1" applyBorder="1" applyAlignment="1">
      <alignment horizontal="left" indent="3"/>
    </xf>
    <xf numFmtId="0" fontId="3" fillId="0" borderId="5" xfId="6" applyFont="1" applyFill="1" applyBorder="1" applyAlignment="1"/>
    <xf numFmtId="0" fontId="12" fillId="0" borderId="4" xfId="6" applyFont="1" applyFill="1" applyBorder="1" applyAlignment="1"/>
    <xf numFmtId="164" fontId="3" fillId="0" borderId="1" xfId="7" applyFont="1" applyFill="1" applyBorder="1"/>
    <xf numFmtId="0" fontId="12" fillId="0" borderId="5" xfId="6" applyFont="1" applyFill="1" applyBorder="1" applyAlignment="1"/>
    <xf numFmtId="0" fontId="3" fillId="0" borderId="4" xfId="6" applyFont="1" applyFill="1" applyBorder="1" applyAlignment="1"/>
    <xf numFmtId="0" fontId="12" fillId="0" borderId="6" xfId="6" applyFont="1" applyFill="1" applyBorder="1" applyAlignment="1"/>
    <xf numFmtId="0" fontId="12" fillId="0" borderId="6" xfId="6" applyFont="1" applyFill="1" applyBorder="1" applyAlignment="1">
      <alignment horizontal="left"/>
    </xf>
    <xf numFmtId="164" fontId="12" fillId="0" borderId="1" xfId="7" applyFont="1" applyFill="1" applyBorder="1"/>
    <xf numFmtId="0" fontId="12" fillId="0" borderId="1" xfId="6" applyFont="1" applyFill="1" applyBorder="1" applyAlignment="1"/>
    <xf numFmtId="0" fontId="12" fillId="0" borderId="0" xfId="6" applyFont="1" applyFill="1" applyAlignment="1">
      <alignment horizontal="center" vertical="center" wrapText="1"/>
    </xf>
    <xf numFmtId="0" fontId="23" fillId="0" borderId="0" xfId="10" applyFont="1" applyFill="1"/>
    <xf numFmtId="0" fontId="3" fillId="0" borderId="0" xfId="0" applyFont="1" applyFill="1"/>
    <xf numFmtId="0" fontId="12" fillId="0" borderId="0" xfId="0" applyFont="1" applyFill="1"/>
    <xf numFmtId="164" fontId="12" fillId="0" borderId="0" xfId="5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3" fillId="0" borderId="4" xfId="0" applyFont="1" applyFill="1" applyBorder="1"/>
    <xf numFmtId="0" fontId="12" fillId="0" borderId="5" xfId="0" applyFont="1" applyFill="1" applyBorder="1"/>
    <xf numFmtId="0" fontId="12" fillId="0" borderId="6" xfId="0" applyFont="1" applyFill="1" applyBorder="1"/>
    <xf numFmtId="164" fontId="12" fillId="0" borderId="1" xfId="5" applyFont="1" applyFill="1" applyBorder="1"/>
    <xf numFmtId="0" fontId="12" fillId="0" borderId="1" xfId="0" applyFont="1" applyFill="1" applyBorder="1"/>
    <xf numFmtId="0" fontId="12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64" fontId="3" fillId="0" borderId="1" xfId="5" applyFont="1" applyFill="1" applyBorder="1"/>
    <xf numFmtId="164" fontId="3" fillId="0" borderId="0" xfId="5" applyFont="1" applyFill="1"/>
    <xf numFmtId="0" fontId="12" fillId="0" borderId="6" xfId="0" applyFont="1" applyFill="1" applyBorder="1" applyAlignment="1">
      <alignment horizontal="left" indent="3"/>
    </xf>
    <xf numFmtId="164" fontId="22" fillId="0" borderId="1" xfId="5" applyFont="1" applyFill="1" applyBorder="1"/>
    <xf numFmtId="164" fontId="3" fillId="0" borderId="1" xfId="5" applyFont="1" applyFill="1" applyBorder="1" applyAlignment="1">
      <alignment horizontal="left" indent="3"/>
    </xf>
    <xf numFmtId="164" fontId="12" fillId="0" borderId="1" xfId="5" applyFont="1" applyFill="1" applyBorder="1" applyAlignment="1">
      <alignment horizontal="left"/>
    </xf>
    <xf numFmtId="164" fontId="12" fillId="0" borderId="1" xfId="5" applyFont="1" applyFill="1" applyBorder="1" applyAlignment="1">
      <alignment horizontal="left" indent="3"/>
    </xf>
    <xf numFmtId="0" fontId="18" fillId="0" borderId="0" xfId="0" applyFont="1" applyFill="1"/>
    <xf numFmtId="0" fontId="17" fillId="0" borderId="0" xfId="0" applyFont="1" applyFill="1"/>
    <xf numFmtId="0" fontId="12" fillId="0" borderId="0" xfId="0" applyFont="1" applyFill="1" applyAlignment="1">
      <alignment wrapText="1"/>
    </xf>
    <xf numFmtId="164" fontId="12" fillId="0" borderId="0" xfId="5" applyFont="1" applyFill="1" applyAlignment="1">
      <alignment horizontal="left" indent="3"/>
    </xf>
    <xf numFmtId="0" fontId="12" fillId="0" borderId="0" xfId="0" applyFont="1" applyFill="1" applyAlignment="1">
      <alignment horizontal="left" indent="7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indent="13"/>
    </xf>
    <xf numFmtId="164" fontId="3" fillId="0" borderId="0" xfId="0" applyNumberFormat="1" applyFont="1" applyFill="1"/>
    <xf numFmtId="0" fontId="3" fillId="0" borderId="0" xfId="0" applyFont="1" applyFill="1" applyAlignment="1">
      <alignment horizontal="left" indent="7"/>
    </xf>
    <xf numFmtId="164" fontId="3" fillId="0" borderId="0" xfId="5" applyFont="1" applyFill="1" applyAlignment="1">
      <alignment horizontal="left" indent="3"/>
    </xf>
    <xf numFmtId="0" fontId="12" fillId="0" borderId="0" xfId="0" applyFont="1" applyFill="1" applyBorder="1"/>
    <xf numFmtId="164" fontId="12" fillId="0" borderId="0" xfId="5" applyFont="1" applyFill="1" applyBorder="1"/>
    <xf numFmtId="164" fontId="13" fillId="0" borderId="0" xfId="0" applyNumberFormat="1" applyFont="1" applyFill="1" applyBorder="1"/>
    <xf numFmtId="164" fontId="13" fillId="0" borderId="0" xfId="5" applyFont="1" applyFill="1" applyBorder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/>
    <xf numFmtId="164" fontId="12" fillId="0" borderId="0" xfId="5" applyFont="1" applyFill="1" applyBorder="1" applyAlignment="1">
      <alignment horizontal="centerContinuous" vertical="center"/>
    </xf>
    <xf numFmtId="0" fontId="26" fillId="0" borderId="0" xfId="0" applyFont="1" applyFill="1"/>
    <xf numFmtId="0" fontId="27" fillId="0" borderId="0" xfId="0" applyFont="1" applyFill="1"/>
    <xf numFmtId="164" fontId="28" fillId="0" borderId="0" xfId="5" applyFont="1" applyFill="1"/>
    <xf numFmtId="164" fontId="26" fillId="0" borderId="0" xfId="5" applyFont="1" applyFill="1"/>
    <xf numFmtId="164" fontId="29" fillId="0" borderId="0" xfId="5" applyFont="1" applyFill="1"/>
    <xf numFmtId="164" fontId="29" fillId="0" borderId="0" xfId="0" applyNumberFormat="1" applyFont="1" applyFill="1"/>
    <xf numFmtId="0" fontId="28" fillId="0" borderId="0" xfId="0" applyFont="1" applyFill="1"/>
    <xf numFmtId="164" fontId="26" fillId="0" borderId="0" xfId="5" applyFont="1" applyFill="1" applyBorder="1"/>
    <xf numFmtId="164" fontId="28" fillId="0" borderId="0" xfId="5" applyFont="1" applyFill="1" applyBorder="1"/>
    <xf numFmtId="164" fontId="26" fillId="0" borderId="0" xfId="5" applyFont="1" applyFill="1" applyAlignment="1">
      <alignment horizontal="centerContinuous" vertical="center"/>
    </xf>
    <xf numFmtId="0" fontId="3" fillId="0" borderId="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left" vertical="center"/>
    </xf>
    <xf numFmtId="0" fontId="16" fillId="0" borderId="0" xfId="6" applyFont="1" applyFill="1" applyAlignment="1">
      <alignment horizontal="center"/>
    </xf>
    <xf numFmtId="0" fontId="12" fillId="0" borderId="0" xfId="6" applyFont="1" applyFill="1" applyAlignment="1">
      <alignment horizontal="center"/>
    </xf>
    <xf numFmtId="0" fontId="12" fillId="0" borderId="1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/>
    <xf numFmtId="164" fontId="22" fillId="0" borderId="1" xfId="7" applyFont="1" applyFill="1" applyBorder="1"/>
    <xf numFmtId="43" fontId="12" fillId="0" borderId="1" xfId="9" applyFont="1" applyFill="1" applyBorder="1"/>
    <xf numFmtId="164" fontId="20" fillId="0" borderId="1" xfId="8" applyFont="1" applyFill="1" applyBorder="1" applyAlignment="1">
      <alignment horizontal="right"/>
    </xf>
    <xf numFmtId="164" fontId="21" fillId="0" borderId="1" xfId="7" applyFont="1" applyFill="1" applyBorder="1"/>
    <xf numFmtId="164" fontId="12" fillId="0" borderId="1" xfId="8" applyFont="1" applyFill="1" applyBorder="1" applyAlignment="1">
      <alignment horizontal="right"/>
    </xf>
    <xf numFmtId="164" fontId="12" fillId="0" borderId="1" xfId="7" applyFont="1" applyFill="1" applyBorder="1" applyAlignment="1">
      <alignment horizontal="left" indent="3"/>
    </xf>
    <xf numFmtId="164" fontId="12" fillId="0" borderId="1" xfId="7" applyFont="1" applyFill="1" applyBorder="1" applyAlignment="1">
      <alignment horizontal="left"/>
    </xf>
    <xf numFmtId="164" fontId="12" fillId="0" borderId="0" xfId="7" applyFont="1" applyFill="1" applyAlignment="1">
      <alignment horizontal="left" indent="3"/>
    </xf>
    <xf numFmtId="164" fontId="3" fillId="0" borderId="0" xfId="7" applyFont="1" applyFill="1" applyAlignment="1">
      <alignment horizontal="left" indent="3"/>
    </xf>
    <xf numFmtId="164" fontId="13" fillId="0" borderId="0" xfId="7" applyFont="1" applyFill="1"/>
    <xf numFmtId="164" fontId="12" fillId="0" borderId="0" xfId="7" applyFont="1" applyFill="1" applyBorder="1"/>
    <xf numFmtId="164" fontId="13" fillId="0" borderId="0" xfId="7" applyFont="1" applyFill="1" applyBorder="1"/>
    <xf numFmtId="164" fontId="31" fillId="0" borderId="0" xfId="3" applyFont="1" applyFill="1" applyAlignment="1">
      <alignment vertical="center"/>
    </xf>
    <xf numFmtId="0" fontId="31" fillId="0" borderId="0" xfId="2" applyFont="1" applyFill="1" applyAlignment="1">
      <alignment vertical="center" wrapText="1"/>
    </xf>
    <xf numFmtId="0" fontId="31" fillId="0" borderId="0" xfId="2" applyFont="1" applyFill="1" applyAlignment="1">
      <alignment vertical="center"/>
    </xf>
    <xf numFmtId="43" fontId="31" fillId="0" borderId="0" xfId="2" applyNumberFormat="1" applyFont="1" applyFill="1" applyAlignment="1">
      <alignment vertical="center"/>
    </xf>
    <xf numFmtId="164" fontId="31" fillId="0" borderId="0" xfId="3" applyFont="1" applyFill="1" applyAlignment="1">
      <alignment vertical="center" wrapText="1"/>
    </xf>
    <xf numFmtId="164" fontId="31" fillId="0" borderId="0" xfId="2" applyNumberFormat="1" applyFont="1" applyFill="1" applyAlignment="1">
      <alignment vertical="center"/>
    </xf>
    <xf numFmtId="164" fontId="32" fillId="0" borderId="0" xfId="3" applyFont="1" applyFill="1" applyAlignment="1">
      <alignment vertical="center"/>
    </xf>
    <xf numFmtId="0" fontId="32" fillId="0" borderId="0" xfId="2" applyFont="1" applyFill="1" applyAlignment="1">
      <alignment vertical="center" wrapText="1"/>
    </xf>
    <xf numFmtId="0" fontId="32" fillId="0" borderId="0" xfId="2" applyFont="1" applyFill="1" applyAlignment="1">
      <alignment vertical="center"/>
    </xf>
    <xf numFmtId="0" fontId="32" fillId="0" borderId="1" xfId="2" applyFont="1" applyFill="1" applyBorder="1" applyAlignment="1">
      <alignment horizontal="center" vertical="center" wrapText="1"/>
    </xf>
    <xf numFmtId="0" fontId="32" fillId="0" borderId="0" xfId="2" applyFont="1" applyFill="1" applyAlignment="1">
      <alignment horizontal="center" vertical="center" wrapText="1"/>
    </xf>
    <xf numFmtId="164" fontId="31" fillId="0" borderId="1" xfId="3" applyFont="1" applyFill="1" applyBorder="1" applyAlignment="1">
      <alignment vertical="center"/>
    </xf>
    <xf numFmtId="0" fontId="32" fillId="0" borderId="1" xfId="2" applyFont="1" applyFill="1" applyBorder="1" applyAlignment="1">
      <alignment vertical="center" wrapText="1"/>
    </xf>
    <xf numFmtId="0" fontId="32" fillId="0" borderId="1" xfId="2" applyFont="1" applyFill="1" applyBorder="1" applyAlignment="1">
      <alignment vertical="center"/>
    </xf>
    <xf numFmtId="0" fontId="32" fillId="0" borderId="4" xfId="2" applyFont="1" applyFill="1" applyBorder="1" applyAlignment="1">
      <alignment vertical="center"/>
    </xf>
    <xf numFmtId="0" fontId="32" fillId="0" borderId="6" xfId="2" applyFont="1" applyFill="1" applyBorder="1" applyAlignment="1">
      <alignment vertical="center" wrapText="1"/>
    </xf>
    <xf numFmtId="164" fontId="32" fillId="0" borderId="1" xfId="3" applyFont="1" applyFill="1" applyBorder="1" applyAlignment="1">
      <alignment vertical="center"/>
    </xf>
    <xf numFmtId="0" fontId="31" fillId="0" borderId="7" xfId="2" applyFont="1" applyFill="1" applyBorder="1" applyAlignment="1">
      <alignment vertical="center"/>
    </xf>
    <xf numFmtId="0" fontId="31" fillId="0" borderId="1" xfId="2" applyFont="1" applyFill="1" applyBorder="1" applyAlignment="1">
      <alignment vertical="center" wrapText="1"/>
    </xf>
    <xf numFmtId="164" fontId="31" fillId="0" borderId="1" xfId="3" applyFont="1" applyFill="1" applyBorder="1" applyAlignment="1">
      <alignment vertical="center" wrapText="1"/>
    </xf>
    <xf numFmtId="0" fontId="33" fillId="0" borderId="4" xfId="2" applyFont="1" applyFill="1" applyBorder="1" applyAlignment="1">
      <alignment vertical="center"/>
    </xf>
    <xf numFmtId="0" fontId="33" fillId="0" borderId="6" xfId="2" applyFont="1" applyFill="1" applyBorder="1" applyAlignment="1">
      <alignment vertical="center" wrapText="1"/>
    </xf>
    <xf numFmtId="164" fontId="33" fillId="0" borderId="1" xfId="3" applyFont="1" applyFill="1" applyBorder="1" applyAlignment="1">
      <alignment vertical="center"/>
    </xf>
    <xf numFmtId="164" fontId="33" fillId="0" borderId="1" xfId="3" applyFont="1" applyFill="1" applyBorder="1" applyAlignment="1">
      <alignment vertical="center" wrapText="1"/>
    </xf>
    <xf numFmtId="164" fontId="33" fillId="0" borderId="0" xfId="3" applyFont="1" applyFill="1" applyAlignment="1">
      <alignment vertical="center"/>
    </xf>
    <xf numFmtId="0" fontId="33" fillId="0" borderId="0" xfId="2" applyFont="1" applyFill="1" applyAlignment="1">
      <alignment vertical="center"/>
    </xf>
    <xf numFmtId="0" fontId="32" fillId="0" borderId="6" xfId="2" applyFont="1" applyFill="1" applyBorder="1" applyAlignment="1">
      <alignment horizontal="left" vertical="center" wrapText="1"/>
    </xf>
    <xf numFmtId="164" fontId="32" fillId="0" borderId="1" xfId="3" applyFont="1" applyFill="1" applyBorder="1" applyAlignment="1">
      <alignment vertical="center" wrapText="1"/>
    </xf>
    <xf numFmtId="0" fontId="31" fillId="0" borderId="4" xfId="2" applyFont="1" applyFill="1" applyBorder="1" applyAlignment="1">
      <alignment vertical="center"/>
    </xf>
    <xf numFmtId="0" fontId="31" fillId="0" borderId="6" xfId="2" applyFont="1" applyFill="1" applyBorder="1" applyAlignment="1">
      <alignment vertical="center" wrapText="1"/>
    </xf>
    <xf numFmtId="164" fontId="32" fillId="0" borderId="1" xfId="3" applyFont="1" applyFill="1" applyBorder="1" applyAlignment="1">
      <alignment horizontal="left" vertical="center" wrapText="1"/>
    </xf>
    <xf numFmtId="164" fontId="32" fillId="0" borderId="1" xfId="3" applyFont="1" applyFill="1" applyBorder="1" applyAlignment="1">
      <alignment horizontal="left" vertical="center"/>
    </xf>
    <xf numFmtId="0" fontId="34" fillId="0" borderId="0" xfId="2" applyFont="1" applyFill="1" applyAlignment="1">
      <alignment vertical="center"/>
    </xf>
    <xf numFmtId="164" fontId="32" fillId="0" borderId="0" xfId="2" applyNumberFormat="1" applyFont="1" applyFill="1" applyAlignment="1">
      <alignment vertical="center" wrapText="1"/>
    </xf>
    <xf numFmtId="43" fontId="32" fillId="0" borderId="0" xfId="2" applyNumberFormat="1" applyFont="1" applyFill="1" applyAlignment="1">
      <alignment vertical="center" wrapText="1"/>
    </xf>
    <xf numFmtId="164" fontId="32" fillId="0" borderId="0" xfId="2" applyNumberFormat="1" applyFont="1" applyFill="1" applyAlignment="1">
      <alignment vertical="center"/>
    </xf>
    <xf numFmtId="43" fontId="32" fillId="0" borderId="0" xfId="2" applyNumberFormat="1" applyFont="1" applyFill="1" applyAlignment="1">
      <alignment vertical="center"/>
    </xf>
    <xf numFmtId="0" fontId="32" fillId="0" borderId="0" xfId="2" applyFont="1" applyFill="1" applyAlignment="1">
      <alignment horizontal="left" vertical="center" wrapText="1"/>
    </xf>
    <xf numFmtId="164" fontId="32" fillId="0" borderId="0" xfId="3" applyFont="1" applyFill="1" applyAlignment="1">
      <alignment horizontal="left" vertical="center"/>
    </xf>
    <xf numFmtId="0" fontId="32" fillId="0" borderId="0" xfId="2" applyFont="1" applyFill="1" applyAlignment="1">
      <alignment horizontal="left" vertical="center"/>
    </xf>
    <xf numFmtId="0" fontId="31" fillId="0" borderId="0" xfId="2" applyFont="1" applyFill="1" applyAlignment="1">
      <alignment horizontal="left" vertical="center" wrapText="1"/>
    </xf>
    <xf numFmtId="0" fontId="31" fillId="0" borderId="0" xfId="2" applyFont="1" applyFill="1" applyAlignment="1">
      <alignment horizontal="left" vertical="center"/>
    </xf>
    <xf numFmtId="164" fontId="32" fillId="0" borderId="0" xfId="3" applyFont="1" applyFill="1" applyAlignment="1">
      <alignment vertical="center" wrapText="1"/>
    </xf>
    <xf numFmtId="164" fontId="31" fillId="0" borderId="0" xfId="3" applyFont="1" applyFill="1" applyAlignment="1">
      <alignment horizontal="left" vertical="center"/>
    </xf>
    <xf numFmtId="0" fontId="32" fillId="0" borderId="0" xfId="2" applyFont="1" applyFill="1" applyAlignment="1">
      <alignment horizontal="center" vertical="center"/>
    </xf>
    <xf numFmtId="164" fontId="31" fillId="0" borderId="0" xfId="3" applyFont="1" applyFill="1" applyAlignment="1">
      <alignment horizontal="center" vertical="center"/>
    </xf>
    <xf numFmtId="0" fontId="31" fillId="0" borderId="0" xfId="2" applyFont="1" applyFill="1" applyAlignment="1">
      <alignment horizontal="center" vertical="center"/>
    </xf>
    <xf numFmtId="164" fontId="32" fillId="0" borderId="0" xfId="3" applyFont="1" applyFill="1" applyBorder="1" applyAlignment="1">
      <alignment vertical="center"/>
    </xf>
    <xf numFmtId="0" fontId="31" fillId="0" borderId="11" xfId="2" applyFont="1" applyFill="1" applyBorder="1" applyAlignment="1">
      <alignment horizontal="center" vertical="center" wrapText="1"/>
    </xf>
    <xf numFmtId="164" fontId="32" fillId="0" borderId="0" xfId="3" applyFont="1" applyFill="1" applyAlignment="1">
      <alignment horizontal="centerContinuous" vertical="center"/>
    </xf>
    <xf numFmtId="0" fontId="6" fillId="0" borderId="0" xfId="0" applyFont="1" applyFill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164" fontId="6" fillId="0" borderId="1" xfId="5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64" fontId="6" fillId="0" borderId="6" xfId="5" applyFont="1" applyFill="1" applyBorder="1" applyAlignment="1">
      <alignment horizontal="left" vertical="center"/>
    </xf>
    <xf numFmtId="164" fontId="6" fillId="0" borderId="1" xfId="5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164" fontId="6" fillId="0" borderId="0" xfId="5" applyFont="1" applyFill="1" applyAlignment="1">
      <alignment horizontal="left" vertical="center"/>
    </xf>
    <xf numFmtId="164" fontId="32" fillId="0" borderId="0" xfId="5" applyFont="1" applyFill="1" applyAlignment="1">
      <alignment vertical="center"/>
    </xf>
    <xf numFmtId="164" fontId="6" fillId="0" borderId="0" xfId="5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/>
    </xf>
    <xf numFmtId="164" fontId="5" fillId="0" borderId="0" xfId="5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164" fontId="10" fillId="0" borderId="1" xfId="5" applyFont="1" applyFill="1" applyBorder="1" applyAlignment="1">
      <alignment horizontal="left" vertical="center"/>
    </xf>
    <xf numFmtId="164" fontId="10" fillId="0" borderId="0" xfId="5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5" fontId="6" fillId="0" borderId="1" xfId="4" applyFont="1" applyFill="1" applyBorder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164" fontId="30" fillId="0" borderId="0" xfId="5" applyFont="1" applyFill="1" applyAlignment="1">
      <alignment horizontal="left" vertical="center"/>
    </xf>
    <xf numFmtId="164" fontId="10" fillId="0" borderId="6" xfId="5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 wrapText="1"/>
    </xf>
    <xf numFmtId="43" fontId="6" fillId="0" borderId="0" xfId="0" applyNumberFormat="1" applyFont="1" applyFill="1" applyAlignment="1">
      <alignment horizontal="left" vertical="center"/>
    </xf>
    <xf numFmtId="164" fontId="6" fillId="0" borderId="11" xfId="5" applyFont="1" applyFill="1" applyBorder="1" applyAlignment="1">
      <alignment horizontal="left" vertical="center"/>
    </xf>
    <xf numFmtId="164" fontId="32" fillId="0" borderId="0" xfId="5" applyFont="1" applyFill="1" applyAlignment="1">
      <alignment horizontal="left" vertical="center"/>
    </xf>
    <xf numFmtId="164" fontId="11" fillId="0" borderId="0" xfId="5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64" fontId="9" fillId="0" borderId="0" xfId="5" applyFont="1" applyFill="1" applyAlignment="1">
      <alignment horizontal="left" vertical="center"/>
    </xf>
    <xf numFmtId="164" fontId="11" fillId="0" borderId="0" xfId="0" applyNumberFormat="1" applyFont="1" applyFill="1" applyAlignment="1">
      <alignment horizontal="left" vertical="center"/>
    </xf>
    <xf numFmtId="164" fontId="26" fillId="0" borderId="0" xfId="5" applyFont="1" applyFill="1" applyBorder="1" applyAlignment="1">
      <alignment vertical="center"/>
    </xf>
    <xf numFmtId="164" fontId="6" fillId="0" borderId="0" xfId="5" applyFont="1" applyFill="1" applyBorder="1" applyAlignment="1">
      <alignment horizontal="left" vertical="center"/>
    </xf>
    <xf numFmtId="164" fontId="11" fillId="0" borderId="0" xfId="5" applyFont="1" applyFill="1" applyBorder="1" applyAlignment="1">
      <alignment horizontal="left" vertical="center"/>
    </xf>
    <xf numFmtId="164" fontId="27" fillId="0" borderId="0" xfId="5" applyFont="1" applyFill="1" applyBorder="1" applyAlignment="1">
      <alignment vertical="center"/>
    </xf>
    <xf numFmtId="164" fontId="32" fillId="0" borderId="6" xfId="3" applyFont="1" applyFill="1" applyBorder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32" fillId="0" borderId="5" xfId="2" applyFont="1" applyFill="1" applyBorder="1" applyAlignment="1">
      <alignment horizontal="center" vertical="center"/>
    </xf>
    <xf numFmtId="0" fontId="33" fillId="0" borderId="5" xfId="2" applyFont="1" applyFill="1" applyBorder="1" applyAlignment="1">
      <alignment horizontal="center" vertical="center"/>
    </xf>
    <xf numFmtId="164" fontId="31" fillId="0" borderId="0" xfId="1" applyNumberFormat="1" applyFont="1" applyFill="1" applyAlignment="1">
      <alignment vertical="center"/>
    </xf>
    <xf numFmtId="164" fontId="32" fillId="0" borderId="0" xfId="1" applyNumberFormat="1" applyFont="1" applyFill="1" applyAlignment="1">
      <alignment vertical="center"/>
    </xf>
    <xf numFmtId="164" fontId="32" fillId="0" borderId="1" xfId="1" applyNumberFormat="1" applyFont="1" applyFill="1" applyBorder="1" applyAlignment="1">
      <alignment horizontal="center" vertical="center" wrapText="1"/>
    </xf>
    <xf numFmtId="164" fontId="32" fillId="0" borderId="1" xfId="1" applyNumberFormat="1" applyFont="1" applyFill="1" applyBorder="1" applyAlignment="1">
      <alignment vertical="center"/>
    </xf>
    <xf numFmtId="164" fontId="31" fillId="0" borderId="1" xfId="1" applyNumberFormat="1" applyFont="1" applyFill="1" applyBorder="1" applyAlignment="1">
      <alignment vertical="center"/>
    </xf>
    <xf numFmtId="164" fontId="33" fillId="0" borderId="1" xfId="1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43" fontId="12" fillId="0" borderId="1" xfId="1" applyFont="1" applyFill="1" applyBorder="1"/>
    <xf numFmtId="0" fontId="12" fillId="0" borderId="4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left" vertical="center" wrapText="1"/>
    </xf>
    <xf numFmtId="164" fontId="12" fillId="0" borderId="1" xfId="5" applyFont="1" applyFill="1" applyBorder="1" applyAlignment="1">
      <alignment vertical="center"/>
    </xf>
    <xf numFmtId="164" fontId="3" fillId="0" borderId="1" xfId="5" applyFont="1" applyFill="1" applyBorder="1" applyAlignment="1">
      <alignment vertical="center"/>
    </xf>
    <xf numFmtId="164" fontId="22" fillId="0" borderId="1" xfId="5" applyFont="1" applyFill="1" applyBorder="1" applyAlignment="1">
      <alignment vertical="center"/>
    </xf>
    <xf numFmtId="164" fontId="12" fillId="0" borderId="0" xfId="5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4" xfId="2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164" fontId="10" fillId="0" borderId="1" xfId="5" applyFont="1" applyFill="1" applyBorder="1" applyAlignment="1">
      <alignment horizontal="left" vertical="center" wrapText="1"/>
    </xf>
    <xf numFmtId="164" fontId="26" fillId="0" borderId="1" xfId="5" applyFont="1" applyFill="1" applyBorder="1" applyAlignment="1">
      <alignment horizontal="left" vertical="center" wrapText="1"/>
    </xf>
    <xf numFmtId="164" fontId="6" fillId="0" borderId="0" xfId="5" applyFont="1" applyFill="1" applyAlignment="1">
      <alignment horizontal="left" vertical="center" wrapText="1"/>
    </xf>
    <xf numFmtId="164" fontId="6" fillId="0" borderId="0" xfId="5" applyFont="1" applyFill="1" applyBorder="1" applyAlignment="1">
      <alignment horizontal="left" vertical="center" wrapText="1"/>
    </xf>
    <xf numFmtId="164" fontId="31" fillId="0" borderId="0" xfId="1" applyNumberFormat="1" applyFont="1" applyFill="1" applyAlignment="1">
      <alignment horizontal="center" vertical="center"/>
    </xf>
    <xf numFmtId="164" fontId="32" fillId="0" borderId="0" xfId="1" applyNumberFormat="1" applyFont="1" applyFill="1" applyAlignment="1">
      <alignment horizontal="center" vertical="center"/>
    </xf>
    <xf numFmtId="164" fontId="32" fillId="0" borderId="1" xfId="1" applyNumberFormat="1" applyFont="1" applyFill="1" applyBorder="1" applyAlignment="1">
      <alignment horizontal="center" vertical="center"/>
    </xf>
    <xf numFmtId="164" fontId="31" fillId="0" borderId="1" xfId="1" applyNumberFormat="1" applyFont="1" applyFill="1" applyBorder="1" applyAlignment="1">
      <alignment horizontal="center" vertical="center"/>
    </xf>
    <xf numFmtId="164" fontId="33" fillId="0" borderId="1" xfId="1" applyNumberFormat="1" applyFont="1" applyFill="1" applyBorder="1" applyAlignment="1">
      <alignment horizontal="center" vertical="center"/>
    </xf>
    <xf numFmtId="0" fontId="33" fillId="0" borderId="1" xfId="1" applyNumberFormat="1" applyFont="1" applyFill="1" applyBorder="1" applyAlignment="1">
      <alignment horizontal="center" vertical="center"/>
    </xf>
    <xf numFmtId="0" fontId="32" fillId="0" borderId="1" xfId="1" applyNumberFormat="1" applyFont="1" applyFill="1" applyBorder="1" applyAlignment="1">
      <alignment horizontal="center" vertical="center"/>
    </xf>
    <xf numFmtId="0" fontId="31" fillId="0" borderId="1" xfId="1" applyNumberFormat="1" applyFont="1" applyFill="1" applyBorder="1" applyAlignment="1">
      <alignment horizontal="center" vertical="center"/>
    </xf>
    <xf numFmtId="0" fontId="6" fillId="0" borderId="0" xfId="4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1" fillId="0" borderId="0" xfId="0" applyFont="1" applyFill="1"/>
    <xf numFmtId="43" fontId="31" fillId="0" borderId="0" xfId="1" applyFont="1" applyFill="1" applyAlignment="1">
      <alignment vertical="center"/>
    </xf>
    <xf numFmtId="164" fontId="34" fillId="0" borderId="0" xfId="3" applyFont="1" applyFill="1" applyAlignment="1">
      <alignment vertical="center"/>
    </xf>
    <xf numFmtId="43" fontId="31" fillId="0" borderId="0" xfId="1" quotePrefix="1" applyFont="1" applyFill="1" applyAlignment="1">
      <alignment vertical="center"/>
    </xf>
    <xf numFmtId="43" fontId="6" fillId="0" borderId="0" xfId="1" applyFont="1" applyFill="1" applyAlignment="1">
      <alignment horizontal="left" vertical="center"/>
    </xf>
    <xf numFmtId="43" fontId="31" fillId="0" borderId="0" xfId="1" applyFont="1" applyFill="1" applyAlignment="1">
      <alignment horizontal="center" vertical="center"/>
    </xf>
    <xf numFmtId="43" fontId="31" fillId="0" borderId="0" xfId="1" applyFont="1" applyFill="1" applyAlignment="1">
      <alignment vertical="center" wrapText="1"/>
    </xf>
    <xf numFmtId="49" fontId="31" fillId="0" borderId="0" xfId="1" applyNumberFormat="1" applyFont="1" applyFill="1" applyAlignment="1">
      <alignment horizontal="center" vertical="center"/>
    </xf>
    <xf numFmtId="49" fontId="31" fillId="0" borderId="0" xfId="2" applyNumberFormat="1" applyFont="1" applyFill="1" applyAlignment="1">
      <alignment horizontal="center" vertical="center"/>
    </xf>
    <xf numFmtId="164" fontId="32" fillId="0" borderId="0" xfId="3" applyFont="1" applyFill="1" applyAlignment="1">
      <alignment horizontal="center" vertical="center"/>
    </xf>
    <xf numFmtId="0" fontId="31" fillId="0" borderId="5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165" fontId="27" fillId="0" borderId="0" xfId="11" applyFont="1" applyAlignment="1">
      <alignment horizontal="center"/>
    </xf>
    <xf numFmtId="43" fontId="27" fillId="0" borderId="0" xfId="1" applyFont="1"/>
    <xf numFmtId="0" fontId="2" fillId="0" borderId="0" xfId="0" applyFont="1"/>
    <xf numFmtId="43" fontId="2" fillId="0" borderId="0" xfId="1" applyFont="1"/>
    <xf numFmtId="43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0" fontId="32" fillId="2" borderId="4" xfId="2" applyFont="1" applyFill="1" applyBorder="1" applyAlignment="1">
      <alignment vertical="center"/>
    </xf>
    <xf numFmtId="0" fontId="32" fillId="2" borderId="5" xfId="2" applyFont="1" applyFill="1" applyBorder="1" applyAlignment="1">
      <alignment horizontal="center" vertical="center"/>
    </xf>
    <xf numFmtId="0" fontId="32" fillId="2" borderId="6" xfId="2" applyFont="1" applyFill="1" applyBorder="1" applyAlignment="1">
      <alignment horizontal="left" vertical="center" wrapText="1"/>
    </xf>
    <xf numFmtId="164" fontId="32" fillId="2" borderId="1" xfId="3" applyFont="1" applyFill="1" applyBorder="1" applyAlignment="1">
      <alignment vertical="center"/>
    </xf>
    <xf numFmtId="164" fontId="32" fillId="2" borderId="1" xfId="1" applyNumberFormat="1" applyFont="1" applyFill="1" applyBorder="1" applyAlignment="1">
      <alignment vertical="center"/>
    </xf>
    <xf numFmtId="0" fontId="32" fillId="2" borderId="1" xfId="1" applyNumberFormat="1" applyFont="1" applyFill="1" applyBorder="1" applyAlignment="1">
      <alignment horizontal="center" vertical="center"/>
    </xf>
    <xf numFmtId="164" fontId="32" fillId="2" borderId="0" xfId="3" applyFont="1" applyFill="1" applyAlignment="1">
      <alignment vertical="center"/>
    </xf>
    <xf numFmtId="0" fontId="32" fillId="2" borderId="0" xfId="2" applyFont="1" applyFill="1" applyAlignment="1">
      <alignment vertical="center"/>
    </xf>
    <xf numFmtId="0" fontId="32" fillId="3" borderId="4" xfId="2" applyFont="1" applyFill="1" applyBorder="1" applyAlignment="1">
      <alignment vertical="center"/>
    </xf>
    <xf numFmtId="0" fontId="32" fillId="3" borderId="5" xfId="2" applyFont="1" applyFill="1" applyBorder="1" applyAlignment="1">
      <alignment horizontal="center" vertical="center"/>
    </xf>
    <xf numFmtId="0" fontId="32" fillId="3" borderId="6" xfId="2" applyFont="1" applyFill="1" applyBorder="1" applyAlignment="1">
      <alignment horizontal="left" vertical="center" wrapText="1"/>
    </xf>
    <xf numFmtId="164" fontId="32" fillId="3" borderId="1" xfId="3" applyFont="1" applyFill="1" applyBorder="1" applyAlignment="1">
      <alignment vertical="center"/>
    </xf>
    <xf numFmtId="164" fontId="32" fillId="3" borderId="1" xfId="1" applyNumberFormat="1" applyFont="1" applyFill="1" applyBorder="1" applyAlignment="1">
      <alignment vertical="center"/>
    </xf>
    <xf numFmtId="0" fontId="32" fillId="3" borderId="1" xfId="1" applyNumberFormat="1" applyFont="1" applyFill="1" applyBorder="1" applyAlignment="1">
      <alignment horizontal="center" vertical="center"/>
    </xf>
    <xf numFmtId="164" fontId="32" fillId="3" borderId="0" xfId="3" applyFont="1" applyFill="1" applyAlignment="1">
      <alignment vertical="center"/>
    </xf>
    <xf numFmtId="164" fontId="35" fillId="3" borderId="0" xfId="3" applyFont="1" applyFill="1" applyAlignment="1">
      <alignment vertical="center"/>
    </xf>
    <xf numFmtId="164" fontId="31" fillId="3" borderId="0" xfId="3" applyFont="1" applyFill="1" applyAlignment="1">
      <alignment vertical="center"/>
    </xf>
    <xf numFmtId="0" fontId="32" fillId="3" borderId="0" xfId="2" applyFont="1" applyFill="1" applyAlignment="1">
      <alignment vertical="center"/>
    </xf>
    <xf numFmtId="43" fontId="2" fillId="3" borderId="0" xfId="1" applyFont="1" applyFill="1"/>
    <xf numFmtId="43" fontId="0" fillId="3" borderId="0" xfId="1" applyFont="1" applyFill="1"/>
    <xf numFmtId="0" fontId="31" fillId="0" borderId="0" xfId="2" applyFont="1" applyFill="1" applyBorder="1" applyAlignment="1">
      <alignment horizontal="center" vertical="center" wrapText="1"/>
    </xf>
    <xf numFmtId="43" fontId="32" fillId="0" borderId="6" xfId="1" applyFont="1" applyFill="1" applyBorder="1" applyAlignment="1">
      <alignment horizontal="left" vertical="center" wrapText="1"/>
    </xf>
    <xf numFmtId="0" fontId="31" fillId="0" borderId="0" xfId="2" applyFont="1" applyFill="1" applyAlignment="1">
      <alignment horizontal="center" vertical="center" wrapText="1"/>
    </xf>
    <xf numFmtId="0" fontId="0" fillId="3" borderId="0" xfId="0" applyFill="1"/>
    <xf numFmtId="1" fontId="0" fillId="3" borderId="0" xfId="1" applyNumberFormat="1" applyFont="1" applyFill="1" applyAlignment="1">
      <alignment horizontal="center"/>
    </xf>
    <xf numFmtId="1" fontId="2" fillId="3" borderId="0" xfId="1" applyNumberFormat="1" applyFont="1" applyFill="1" applyAlignment="1">
      <alignment horizontal="center"/>
    </xf>
    <xf numFmtId="43" fontId="32" fillId="0" borderId="6" xfId="2" applyNumberFormat="1" applyFont="1" applyFill="1" applyBorder="1" applyAlignment="1">
      <alignment horizontal="left" vertical="center" wrapText="1"/>
    </xf>
    <xf numFmtId="43" fontId="36" fillId="0" borderId="0" xfId="1" applyFont="1"/>
    <xf numFmtId="0" fontId="36" fillId="0" borderId="0" xfId="0" applyFont="1"/>
    <xf numFmtId="43" fontId="0" fillId="3" borderId="0" xfId="0" applyNumberFormat="1" applyFill="1"/>
    <xf numFmtId="43" fontId="2" fillId="3" borderId="0" xfId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/>
    <xf numFmtId="43" fontId="32" fillId="2" borderId="6" xfId="1" applyFont="1" applyFill="1" applyBorder="1" applyAlignment="1">
      <alignment horizontal="left" vertical="center" wrapText="1"/>
    </xf>
    <xf numFmtId="164" fontId="32" fillId="2" borderId="6" xfId="3" applyFont="1" applyFill="1" applyBorder="1" applyAlignment="1">
      <alignment vertical="center"/>
    </xf>
    <xf numFmtId="0" fontId="2" fillId="2" borderId="0" xfId="0" applyFont="1" applyFill="1"/>
    <xf numFmtId="43" fontId="2" fillId="2" borderId="0" xfId="1" applyFont="1" applyFill="1"/>
    <xf numFmtId="43" fontId="0" fillId="2" borderId="0" xfId="1" applyFont="1" applyFill="1"/>
    <xf numFmtId="0" fontId="39" fillId="2" borderId="0" xfId="0" applyFont="1" applyFill="1"/>
    <xf numFmtId="43" fontId="36" fillId="2" borderId="0" xfId="1" applyFont="1" applyFill="1"/>
    <xf numFmtId="0" fontId="0" fillId="2" borderId="0" xfId="0" applyFill="1"/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5" fontId="6" fillId="0" borderId="1" xfId="4" applyFont="1" applyFill="1" applyBorder="1" applyAlignment="1">
      <alignment horizontal="left" vertical="center" wrapText="1"/>
    </xf>
    <xf numFmtId="43" fontId="0" fillId="2" borderId="0" xfId="0" applyNumberFormat="1" applyFill="1"/>
    <xf numFmtId="43" fontId="0" fillId="0" borderId="0" xfId="0" applyNumberFormat="1"/>
    <xf numFmtId="1" fontId="0" fillId="3" borderId="1" xfId="1" applyNumberFormat="1" applyFont="1" applyFill="1" applyBorder="1" applyAlignment="1">
      <alignment horizontal="center"/>
    </xf>
    <xf numFmtId="43" fontId="0" fillId="3" borderId="1" xfId="1" applyFont="1" applyFill="1" applyBorder="1"/>
    <xf numFmtId="0" fontId="0" fillId="3" borderId="1" xfId="0" applyFill="1" applyBorder="1" applyAlignment="1">
      <alignment wrapText="1"/>
    </xf>
    <xf numFmtId="1" fontId="36" fillId="3" borderId="1" xfId="1" applyNumberFormat="1" applyFont="1" applyFill="1" applyBorder="1" applyAlignment="1">
      <alignment horizontal="center"/>
    </xf>
    <xf numFmtId="43" fontId="36" fillId="3" borderId="1" xfId="1" applyFont="1" applyFill="1" applyBorder="1"/>
    <xf numFmtId="0" fontId="36" fillId="3" borderId="1" xfId="0" applyFont="1" applyFill="1" applyBorder="1" applyAlignment="1">
      <alignment wrapText="1"/>
    </xf>
    <xf numFmtId="43" fontId="0" fillId="2" borderId="1" xfId="0" applyNumberFormat="1" applyFill="1" applyBorder="1"/>
    <xf numFmtId="43" fontId="0" fillId="4" borderId="0" xfId="0" applyNumberFormat="1" applyFill="1"/>
    <xf numFmtId="164" fontId="32" fillId="0" borderId="0" xfId="3" applyFont="1" applyFill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164" fontId="31" fillId="0" borderId="1" xfId="3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horizontal="center" vertical="center" wrapText="1"/>
    </xf>
    <xf numFmtId="0" fontId="32" fillId="0" borderId="3" xfId="2" applyFont="1" applyFill="1" applyBorder="1" applyAlignment="1">
      <alignment horizontal="center" vertical="center" wrapText="1"/>
    </xf>
    <xf numFmtId="0" fontId="32" fillId="0" borderId="7" xfId="2" applyFont="1" applyFill="1" applyBorder="1" applyAlignment="1">
      <alignment horizontal="center" vertical="center" wrapText="1"/>
    </xf>
    <xf numFmtId="0" fontId="32" fillId="0" borderId="8" xfId="2" applyFont="1" applyFill="1" applyBorder="1" applyAlignment="1">
      <alignment horizontal="center" vertical="center" wrapText="1"/>
    </xf>
    <xf numFmtId="0" fontId="32" fillId="0" borderId="9" xfId="2" applyFont="1" applyFill="1" applyBorder="1" applyAlignment="1">
      <alignment horizontal="center" vertical="center" wrapText="1"/>
    </xf>
    <xf numFmtId="0" fontId="32" fillId="0" borderId="10" xfId="2" applyFont="1" applyFill="1" applyBorder="1" applyAlignment="1">
      <alignment horizontal="center" vertical="center" wrapText="1"/>
    </xf>
    <xf numFmtId="0" fontId="31" fillId="0" borderId="4" xfId="2" applyFont="1" applyFill="1" applyBorder="1" applyAlignment="1">
      <alignment horizontal="center" vertical="center"/>
    </xf>
    <xf numFmtId="0" fontId="31" fillId="0" borderId="5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center" vertical="center"/>
    </xf>
    <xf numFmtId="0" fontId="31" fillId="0" borderId="4" xfId="2" applyFont="1" applyFill="1" applyBorder="1" applyAlignment="1">
      <alignment horizontal="left" vertical="center" wrapText="1"/>
    </xf>
    <xf numFmtId="0" fontId="31" fillId="0" borderId="5" xfId="2" applyFont="1" applyFill="1" applyBorder="1" applyAlignment="1">
      <alignment horizontal="left" vertical="center" wrapText="1"/>
    </xf>
    <xf numFmtId="0" fontId="31" fillId="0" borderId="6" xfId="2" applyFont="1" applyFill="1" applyBorder="1" applyAlignment="1">
      <alignment horizontal="left" vertical="center" wrapText="1"/>
    </xf>
    <xf numFmtId="164" fontId="31" fillId="0" borderId="11" xfId="3" applyFont="1" applyFill="1" applyBorder="1" applyAlignment="1">
      <alignment horizontal="center" vertical="center"/>
    </xf>
    <xf numFmtId="0" fontId="12" fillId="0" borderId="0" xfId="6" applyFont="1" applyFill="1" applyAlignment="1">
      <alignment horizontal="center"/>
    </xf>
    <xf numFmtId="0" fontId="3" fillId="0" borderId="1" xfId="6" applyFont="1" applyFill="1" applyBorder="1" applyAlignment="1">
      <alignment horizontal="center" vertical="center"/>
    </xf>
    <xf numFmtId="164" fontId="3" fillId="0" borderId="1" xfId="7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/>
    </xf>
    <xf numFmtId="0" fontId="12" fillId="0" borderId="2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9" xfId="6" applyFont="1" applyFill="1" applyBorder="1" applyAlignment="1">
      <alignment horizontal="center" vertical="center" wrapText="1"/>
    </xf>
    <xf numFmtId="0" fontId="12" fillId="0" borderId="10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3" fillId="0" borderId="6" xfId="6" applyFont="1" applyFill="1" applyBorder="1" applyAlignment="1">
      <alignment horizontal="center"/>
    </xf>
    <xf numFmtId="0" fontId="16" fillId="0" borderId="0" xfId="6" applyFont="1" applyFill="1" applyAlignment="1">
      <alignment horizontal="center"/>
    </xf>
    <xf numFmtId="164" fontId="3" fillId="0" borderId="0" xfId="5" applyFont="1" applyFill="1" applyBorder="1" applyAlignment="1">
      <alignment horizontal="center"/>
    </xf>
    <xf numFmtId="164" fontId="27" fillId="0" borderId="11" xfId="5" applyFont="1" applyFill="1" applyBorder="1" applyAlignment="1">
      <alignment horizontal="center"/>
    </xf>
    <xf numFmtId="164" fontId="26" fillId="0" borderId="0" xfId="5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4" fontId="5" fillId="0" borderId="0" xfId="5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</cellXfs>
  <cellStyles count="12">
    <cellStyle name="Comma" xfId="1" builtinId="3"/>
    <cellStyle name="Comma 10 2 3 2" xfId="8"/>
    <cellStyle name="Comma 19" xfId="5"/>
    <cellStyle name="Comma 20" xfId="3"/>
    <cellStyle name="Comma 4 2 2" xfId="7"/>
    <cellStyle name="Comma 5 2 2" xfId="9"/>
    <cellStyle name="Normal" xfId="0" builtinId="0"/>
    <cellStyle name="Normal 10" xfId="11"/>
    <cellStyle name="Normal 11_1. FUND 101 Financial Reports 2011" xfId="4"/>
    <cellStyle name="Normal 17 4 4 2 2 2 2" xfId="10"/>
    <cellStyle name="Normal 21" xfId="2"/>
    <cellStyle name="Normal 5 3 2 2" xfId="6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.10-MITHI-L076\Desktop\NB%20FA%20II%20FILES\KC%20NCDDP\FA%20III%20SOE\CURRENT%20FOR%20FAR%201C%20FO-X%20RFR%20Tracker%20-%20KCNCDDP%20Extension%20BY%202020%20(1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1January%202023/1JANUARY%202023%20CHECK%20DJ-F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2February%202023/2FEBRUARY%202023%20CHECK%20DJ%20rev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3March%202023/MARCH%202023%20CHECK%20DJ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1%20January%202023/JEV%20-%20January%202023%20-FC1,FC4,FC6%20&amp;%20FC7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JVL/4%20APRIL%202023/JEV/JEV%20nos.%202023-04-1717to173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JVL/4%20APRIL%202023/JEV/JEV%20nos.%202023-04-1734to1760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KYRA/4%20APRIL%202023/4.%20APRIL%20202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3March%202023/JEV%20-%20March%202023%20-FC1,FC4,FC6%20&amp;%20FC7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2February%202023/JEV%20-%20Febuary%202023%20-FC1,FC4,FC6%20&amp;%20FC7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4%20APRIL%202023/4.1%20APRIL%202023%20WORKING%20TB%20FC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SWD\Desktop\MARS2020\FC-2%20Dec.%202019\Chk%20Dj%204th%20Qtr\Check%20DJ%20DEC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9%20SEPTEMBER%202023%20FS/TRIAL%20BALANCE/9.1%20SEPTEMBER%202023%20Fund%20Cluster%201%20TB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8%20AUGUST%202023/8.1%20AUGUST%202023%20WORKING%20TB%20FC%201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9%20SEPTEMBER%202023/9.1%20SEPTEMBER%202023%20WORKING%20TB%20FC%20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7%20JULY%202023/7.1%20JULY%202023%20WORKING%20TB%20FC%201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7%20JULY%202023/JEV%20-%20JULY%202023%20-FC1,FC4,FC6%20&amp;%20FC7%20LATEST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esktop\FS2022\Final\12.2%20DECEMBER%202022%20Fund%20Cluster%202%20TB%20&amp;%20Comparative%20Restated%20FS%20202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9%20SEPTEMBER%202023%20FS/TRIAL%20BALANCE/9.3%20SEPTEMBER%202023%20Fund%20Cluster%203%20TB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LANI/FS.12.DEC%202020/Trial%20Balance/TB%20and%20FS/12.4%20DEC%202020%20Fund%20Cluster%204%20TB%20and%20Comparative%20FS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9%20SEPTEMBER%202023%20FS/TRIAL%20BALANCE/9.4%20SEPTEMBER%202023%20Fund%20Cluster%204%20TB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9%20SEPTEMBER%202023%20FS/TRIAL%20BALANCE/9.6%20SEPTEMBER%202023%20Fund%20Cluster%206%20T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ownloads\MARS2020\FC-2%20Dec.%202019\Chk%20Dj%204th%20Qtr\Check%20DJ%20DEC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9%20SEPTEMBER%202023%20FS/TRIAL%20BALANCE/9.7%20SEPTEMBER%202023%20Fund%20Cluster%207%20TB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3March%202023/3.7%20March%202023%20Working%20TB%20FC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ownloads\12E%20FO%20X%20102%20WB,%20GOP,%20WB-AF%20&amp;%20GOP-AF%20Consolidated%20FS_December%2031,%20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RESTATEMENTS%20OF%20FS%202021/4TH%20QUARTER%202022/3.1%20RESTATEMENT%20OF%20FS%20&amp;%20TB%20FUND%20CLUSTER%201%20FOR%204th%20QUARTER%20202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FINANCIAL%20STATEMENTS%202022/12%20DECEMBER%202022%20FS/Other%20Quarterly%20Reports/Breakdown%20of%20Accumulated%20Surplus-Deficit%204th%20Quarter%202022%20(FC%201,%204,%206%20&amp;%207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1January%202023/1.%20JANUARY%2031,%202023-GOP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2February%202023/2.%20FEBRUARY%2028,%202023.xlsb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3March%202023/3.%20MARCH%2031,%20202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EW REPORT CHECKLIST"/>
      <sheetName val="BY 2020"/>
      <sheetName val="SPI Masterlist as of September "/>
      <sheetName val="Location Summary"/>
      <sheetName val="Reference"/>
      <sheetName val="Sheet2"/>
      <sheetName val="MGA"/>
      <sheetName val="Sheet33"/>
      <sheetName val="RFR WITH DVS CODE"/>
      <sheetName val="Sheet7"/>
      <sheetName val="Sheet10"/>
      <sheetName val="Sheet13"/>
      <sheetName val="Sheet14"/>
      <sheetName val="Sheet15"/>
      <sheetName val="DBASE.DISB GOP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A2" t="str">
            <v>ADB</v>
          </cell>
          <cell r="B2">
            <v>177</v>
          </cell>
          <cell r="C2" t="str">
            <v>Bukidnon</v>
          </cell>
          <cell r="D2" t="str">
            <v>Malitbog</v>
          </cell>
          <cell r="E2" t="str">
            <v>Y</v>
          </cell>
          <cell r="F2" t="str">
            <v>1st</v>
          </cell>
          <cell r="G2">
            <v>1</v>
          </cell>
          <cell r="H2">
            <v>2014</v>
          </cell>
          <cell r="I2" t="str">
            <v>Disbursed</v>
          </cell>
          <cell r="J2" t="str">
            <v>ACT</v>
          </cell>
        </row>
        <row r="3">
          <cell r="A3" t="str">
            <v>WB</v>
          </cell>
          <cell r="B3">
            <v>293</v>
          </cell>
          <cell r="C3" t="str">
            <v>Camiguin</v>
          </cell>
          <cell r="D3" t="str">
            <v>Catarman</v>
          </cell>
          <cell r="E3" t="str">
            <v>N</v>
          </cell>
          <cell r="F3" t="str">
            <v>2nd</v>
          </cell>
          <cell r="G3">
            <v>2</v>
          </cell>
          <cell r="H3">
            <v>2015</v>
          </cell>
          <cell r="I3" t="str">
            <v>RFR waiting for compliance-ACT</v>
          </cell>
          <cell r="J3" t="str">
            <v>CDO III</v>
          </cell>
        </row>
        <row r="4">
          <cell r="B4">
            <v>377</v>
          </cell>
          <cell r="C4" t="str">
            <v>Lanao del Norte</v>
          </cell>
          <cell r="D4" t="str">
            <v>Guinsiliban</v>
          </cell>
          <cell r="F4" t="str">
            <v>Final</v>
          </cell>
          <cell r="G4">
            <v>3</v>
          </cell>
          <cell r="H4">
            <v>2016</v>
          </cell>
          <cell r="I4" t="str">
            <v>RFR waiting for compliance-SRPMO</v>
          </cell>
          <cell r="J4" t="str">
            <v>CIO III</v>
          </cell>
        </row>
        <row r="5">
          <cell r="C5" t="str">
            <v>Misamis Occidental</v>
          </cell>
          <cell r="D5" t="str">
            <v>Mahinog</v>
          </cell>
          <cell r="F5" t="str">
            <v>TAF</v>
          </cell>
          <cell r="G5">
            <v>4</v>
          </cell>
          <cell r="H5">
            <v>2017</v>
          </cell>
          <cell r="I5" t="str">
            <v>RFR waiting for compliance-RPMO</v>
          </cell>
          <cell r="J5" t="str">
            <v>CPO III</v>
          </cell>
        </row>
        <row r="6">
          <cell r="C6" t="str">
            <v>Misamis Oriental</v>
          </cell>
          <cell r="D6" t="str">
            <v>Mambajao</v>
          </cell>
          <cell r="H6">
            <v>2018</v>
          </cell>
          <cell r="I6" t="str">
            <v>RFR waiting for Liquidation Certificate</v>
          </cell>
          <cell r="J6" t="str">
            <v>FA II</v>
          </cell>
        </row>
        <row r="7">
          <cell r="D7" t="str">
            <v>Sagay</v>
          </cell>
          <cell r="H7">
            <v>2019</v>
          </cell>
          <cell r="I7" t="str">
            <v>RFR for DV,OBRs &amp; RPC Signature</v>
          </cell>
          <cell r="J7" t="str">
            <v>FA III</v>
          </cell>
        </row>
        <row r="8">
          <cell r="D8" t="str">
            <v>Kapatagan</v>
          </cell>
          <cell r="I8" t="str">
            <v>No RFR</v>
          </cell>
          <cell r="J8" t="str">
            <v>RCDS</v>
          </cell>
        </row>
        <row r="9">
          <cell r="D9" t="str">
            <v>Kauswagan</v>
          </cell>
          <cell r="I9" t="str">
            <v>RFR Ready for Download but Waiting for Cash from CO</v>
          </cell>
          <cell r="J9" t="str">
            <v>RCIS</v>
          </cell>
        </row>
        <row r="10">
          <cell r="D10" t="str">
            <v>Kolambugan</v>
          </cell>
          <cell r="I10" t="str">
            <v>RFR Subject to NOL(RPMO)</v>
          </cell>
          <cell r="J10" t="str">
            <v>RFA</v>
          </cell>
        </row>
        <row r="11">
          <cell r="D11" t="str">
            <v>Lala</v>
          </cell>
          <cell r="I11" t="str">
            <v>RFR Subject to NOL(NPMO)</v>
          </cell>
          <cell r="J11" t="str">
            <v>RIA</v>
          </cell>
        </row>
        <row r="12">
          <cell r="D12" t="str">
            <v>Magsaysay</v>
          </cell>
          <cell r="I12" t="str">
            <v>MPA/SPA for RPC/RD/ARDO signature</v>
          </cell>
          <cell r="J12" t="str">
            <v>RPC</v>
          </cell>
        </row>
        <row r="13">
          <cell r="D13" t="str">
            <v>Matungao</v>
          </cell>
          <cell r="I13" t="str">
            <v>ERFR slip for RPC/RD/ARDO signature</v>
          </cell>
          <cell r="J13" t="str">
            <v>RPD</v>
          </cell>
        </row>
        <row r="14">
          <cell r="D14" t="str">
            <v>Poona Piagapo</v>
          </cell>
          <cell r="I14" t="str">
            <v>RFR/DV for RD/ARDO signature</v>
          </cell>
          <cell r="J14" t="str">
            <v>SRPC</v>
          </cell>
        </row>
        <row r="15">
          <cell r="D15" t="str">
            <v>Tagoloan</v>
          </cell>
          <cell r="I15" t="str">
            <v>For ADA signature</v>
          </cell>
          <cell r="J15" t="str">
            <v>Accounting</v>
          </cell>
        </row>
        <row r="16">
          <cell r="D16" t="str">
            <v>Tangcal</v>
          </cell>
          <cell r="I16" t="str">
            <v>ADA FORWARDED TO LBP FOR DOWNLOAD</v>
          </cell>
          <cell r="J16" t="str">
            <v>Budget</v>
          </cell>
        </row>
        <row r="17">
          <cell r="D17" t="str">
            <v>Bonifacio</v>
          </cell>
          <cell r="I17" t="str">
            <v>For AO V Signature</v>
          </cell>
          <cell r="J17" t="str">
            <v>Cash</v>
          </cell>
        </row>
        <row r="18">
          <cell r="D18" t="str">
            <v>Calamba</v>
          </cell>
          <cell r="I18" t="str">
            <v>RFR For FA-3 Accounting review</v>
          </cell>
          <cell r="J18" t="str">
            <v>RPMO</v>
          </cell>
        </row>
        <row r="19">
          <cell r="D19" t="str">
            <v>Panaon</v>
          </cell>
          <cell r="I19" t="str">
            <v>RFR for Review</v>
          </cell>
          <cell r="J19" t="str">
            <v>SRPMO</v>
          </cell>
        </row>
        <row r="20">
          <cell r="D20" t="str">
            <v>Sinacaban</v>
          </cell>
          <cell r="I20" t="str">
            <v>RFR waiting for Liquidation Certificate</v>
          </cell>
          <cell r="J20" t="str">
            <v>ARDO</v>
          </cell>
        </row>
        <row r="21">
          <cell r="D21" t="str">
            <v>Baungon</v>
          </cell>
          <cell r="J21" t="str">
            <v>NPMO</v>
          </cell>
        </row>
        <row r="22">
          <cell r="D22" t="str">
            <v>Cabanglasan</v>
          </cell>
          <cell r="I22">
            <v>0</v>
          </cell>
          <cell r="J22">
            <v>0</v>
          </cell>
        </row>
        <row r="23">
          <cell r="D23" t="str">
            <v>Damulog</v>
          </cell>
          <cell r="I23">
            <v>0</v>
          </cell>
        </row>
        <row r="24">
          <cell r="D24" t="str">
            <v>Don Carlos</v>
          </cell>
          <cell r="I24">
            <v>0</v>
          </cell>
        </row>
        <row r="25">
          <cell r="D25" t="str">
            <v>Impasug-Ong</v>
          </cell>
          <cell r="I25">
            <v>0</v>
          </cell>
        </row>
        <row r="26">
          <cell r="D26" t="str">
            <v>Kadingilan</v>
          </cell>
          <cell r="I26">
            <v>0</v>
          </cell>
        </row>
        <row r="27">
          <cell r="D27" t="str">
            <v>Kalilangan</v>
          </cell>
          <cell r="I27">
            <v>0</v>
          </cell>
        </row>
        <row r="28">
          <cell r="D28" t="str">
            <v>Kibawe</v>
          </cell>
          <cell r="I28">
            <v>0</v>
          </cell>
        </row>
        <row r="29">
          <cell r="D29" t="str">
            <v>Kitaotao</v>
          </cell>
          <cell r="I29">
            <v>0</v>
          </cell>
        </row>
        <row r="30">
          <cell r="D30" t="str">
            <v>Pangantucan</v>
          </cell>
          <cell r="I30">
            <v>0</v>
          </cell>
        </row>
        <row r="31">
          <cell r="D31" t="str">
            <v>Quezon</v>
          </cell>
          <cell r="I31">
            <v>0</v>
          </cell>
        </row>
        <row r="32">
          <cell r="D32" t="str">
            <v>San Fernando</v>
          </cell>
          <cell r="I32">
            <v>0</v>
          </cell>
        </row>
        <row r="33">
          <cell r="D33" t="str">
            <v>Sumilao</v>
          </cell>
          <cell r="I33">
            <v>0</v>
          </cell>
        </row>
        <row r="34">
          <cell r="D34" t="str">
            <v>Talakag</v>
          </cell>
          <cell r="I34">
            <v>0</v>
          </cell>
        </row>
        <row r="35">
          <cell r="D35" t="str">
            <v>Bacolod</v>
          </cell>
          <cell r="I35">
            <v>0</v>
          </cell>
        </row>
        <row r="36">
          <cell r="D36" t="str">
            <v>Baloi</v>
          </cell>
          <cell r="I36">
            <v>0</v>
          </cell>
        </row>
        <row r="37">
          <cell r="D37" t="str">
            <v>Baroy</v>
          </cell>
          <cell r="I37">
            <v>0</v>
          </cell>
        </row>
        <row r="38">
          <cell r="D38" t="str">
            <v>Linamon</v>
          </cell>
          <cell r="I38">
            <v>0</v>
          </cell>
        </row>
        <row r="39">
          <cell r="D39" t="str">
            <v>Maigo</v>
          </cell>
          <cell r="I39">
            <v>0</v>
          </cell>
        </row>
        <row r="40">
          <cell r="D40" t="str">
            <v>Nunungan</v>
          </cell>
          <cell r="I40">
            <v>0</v>
          </cell>
        </row>
        <row r="41">
          <cell r="D41" t="str">
            <v>Pantar</v>
          </cell>
          <cell r="I41">
            <v>0</v>
          </cell>
        </row>
        <row r="42">
          <cell r="D42" t="str">
            <v>Salvador</v>
          </cell>
          <cell r="I42">
            <v>0</v>
          </cell>
        </row>
        <row r="43">
          <cell r="D43" t="str">
            <v>Sapad</v>
          </cell>
          <cell r="I43">
            <v>0</v>
          </cell>
        </row>
        <row r="44">
          <cell r="D44" t="str">
            <v>Sultan Naga Dimaporo (Karomatan)</v>
          </cell>
          <cell r="I44">
            <v>0</v>
          </cell>
        </row>
        <row r="45">
          <cell r="D45" t="str">
            <v>Tubod (Capital)</v>
          </cell>
          <cell r="I45">
            <v>0</v>
          </cell>
        </row>
        <row r="46">
          <cell r="D46" t="str">
            <v>Aloran</v>
          </cell>
          <cell r="I46">
            <v>0</v>
          </cell>
        </row>
        <row r="47">
          <cell r="D47" t="str">
            <v>Baliangao</v>
          </cell>
          <cell r="I47">
            <v>0</v>
          </cell>
        </row>
        <row r="48">
          <cell r="D48" t="str">
            <v>Clarin</v>
          </cell>
          <cell r="I48">
            <v>0</v>
          </cell>
        </row>
        <row r="49">
          <cell r="D49" t="str">
            <v>Concepcion</v>
          </cell>
          <cell r="I49">
            <v>0</v>
          </cell>
        </row>
        <row r="50">
          <cell r="D50" t="str">
            <v>Don Victoriano Chiongbian (Don Mariano Marcos)</v>
          </cell>
          <cell r="I50">
            <v>0</v>
          </cell>
        </row>
        <row r="51">
          <cell r="D51" t="str">
            <v>Lopez Jaena</v>
          </cell>
          <cell r="I51">
            <v>0</v>
          </cell>
        </row>
        <row r="52">
          <cell r="D52" t="str">
            <v>Sapang Dalaga</v>
          </cell>
          <cell r="I52">
            <v>0</v>
          </cell>
        </row>
        <row r="53">
          <cell r="D53" t="str">
            <v>Tudela</v>
          </cell>
          <cell r="I53">
            <v>0</v>
          </cell>
        </row>
        <row r="54">
          <cell r="D54" t="str">
            <v>Alubijid</v>
          </cell>
          <cell r="I54">
            <v>0</v>
          </cell>
        </row>
        <row r="55">
          <cell r="D55" t="str">
            <v>Balingasag</v>
          </cell>
          <cell r="I55">
            <v>0</v>
          </cell>
        </row>
        <row r="56">
          <cell r="D56" t="str">
            <v>Balingoan</v>
          </cell>
          <cell r="I56">
            <v>0</v>
          </cell>
        </row>
        <row r="57">
          <cell r="D57" t="str">
            <v>Binuangan</v>
          </cell>
          <cell r="I57">
            <v>0</v>
          </cell>
        </row>
        <row r="58">
          <cell r="D58" t="str">
            <v>Claveria</v>
          </cell>
          <cell r="I58">
            <v>0</v>
          </cell>
        </row>
        <row r="59">
          <cell r="D59" t="str">
            <v>Gitagum</v>
          </cell>
          <cell r="I59">
            <v>0</v>
          </cell>
        </row>
        <row r="60">
          <cell r="D60" t="str">
            <v>Initao</v>
          </cell>
          <cell r="I60">
            <v>0</v>
          </cell>
        </row>
        <row r="61">
          <cell r="D61" t="str">
            <v>Jasaan</v>
          </cell>
          <cell r="I61">
            <v>0</v>
          </cell>
        </row>
        <row r="62">
          <cell r="D62" t="str">
            <v>Kinoguitan</v>
          </cell>
          <cell r="I62">
            <v>0</v>
          </cell>
        </row>
        <row r="63">
          <cell r="D63" t="str">
            <v>Lagonglong</v>
          </cell>
          <cell r="I63">
            <v>0</v>
          </cell>
        </row>
        <row r="64">
          <cell r="D64" t="str">
            <v>Laguindingan</v>
          </cell>
          <cell r="I64">
            <v>0</v>
          </cell>
        </row>
        <row r="65">
          <cell r="D65" t="str">
            <v>Libertad</v>
          </cell>
          <cell r="I65">
            <v>0</v>
          </cell>
        </row>
        <row r="66">
          <cell r="D66" t="str">
            <v>Magsaysay (Linugos)</v>
          </cell>
          <cell r="I66">
            <v>0</v>
          </cell>
        </row>
        <row r="67">
          <cell r="D67" t="str">
            <v>Manticao</v>
          </cell>
          <cell r="I67">
            <v>0</v>
          </cell>
        </row>
        <row r="68">
          <cell r="D68" t="str">
            <v>Medina</v>
          </cell>
          <cell r="I68">
            <v>0</v>
          </cell>
        </row>
        <row r="69">
          <cell r="D69" t="str">
            <v>Naawan</v>
          </cell>
          <cell r="I69">
            <v>0</v>
          </cell>
        </row>
        <row r="70">
          <cell r="D70" t="str">
            <v>Salay</v>
          </cell>
          <cell r="I70">
            <v>0</v>
          </cell>
        </row>
        <row r="71">
          <cell r="D71" t="str">
            <v>Sugbongcogon</v>
          </cell>
          <cell r="I71">
            <v>0</v>
          </cell>
        </row>
        <row r="72">
          <cell r="D72" t="str">
            <v>Pantao Ragat</v>
          </cell>
          <cell r="I72">
            <v>0</v>
          </cell>
        </row>
        <row r="73">
          <cell r="D73" t="str">
            <v>Talisayan</v>
          </cell>
          <cell r="I73">
            <v>0</v>
          </cell>
        </row>
        <row r="74">
          <cell r="I74">
            <v>0</v>
          </cell>
        </row>
        <row r="75">
          <cell r="I75">
            <v>0</v>
          </cell>
        </row>
        <row r="76">
          <cell r="I76">
            <v>0</v>
          </cell>
        </row>
        <row r="77">
          <cell r="I77">
            <v>0</v>
          </cell>
        </row>
        <row r="78">
          <cell r="I78">
            <v>0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0</v>
          </cell>
        </row>
        <row r="82">
          <cell r="I82">
            <v>0</v>
          </cell>
        </row>
        <row r="83">
          <cell r="I83">
            <v>0</v>
          </cell>
        </row>
        <row r="84">
          <cell r="I84">
            <v>0</v>
          </cell>
        </row>
        <row r="85">
          <cell r="I85">
            <v>0</v>
          </cell>
        </row>
        <row r="86">
          <cell r="I86">
            <v>0</v>
          </cell>
        </row>
        <row r="87">
          <cell r="I87">
            <v>0</v>
          </cell>
        </row>
        <row r="88">
          <cell r="I88">
            <v>0</v>
          </cell>
        </row>
        <row r="89">
          <cell r="I89">
            <v>0</v>
          </cell>
        </row>
        <row r="90">
          <cell r="I90">
            <v>0</v>
          </cell>
        </row>
        <row r="91">
          <cell r="I91">
            <v>0</v>
          </cell>
        </row>
        <row r="92">
          <cell r="I92">
            <v>0</v>
          </cell>
        </row>
        <row r="93">
          <cell r="I93">
            <v>0</v>
          </cell>
        </row>
        <row r="94">
          <cell r="I94">
            <v>0</v>
          </cell>
        </row>
        <row r="95">
          <cell r="I95">
            <v>0</v>
          </cell>
        </row>
        <row r="96">
          <cell r="I96">
            <v>0</v>
          </cell>
        </row>
        <row r="97">
          <cell r="I97">
            <v>0</v>
          </cell>
        </row>
        <row r="98">
          <cell r="I98">
            <v>0</v>
          </cell>
        </row>
        <row r="99">
          <cell r="I99">
            <v>0</v>
          </cell>
        </row>
        <row r="100">
          <cell r="I100">
            <v>0</v>
          </cell>
        </row>
        <row r="101">
          <cell r="I101">
            <v>0</v>
          </cell>
        </row>
        <row r="102">
          <cell r="I102">
            <v>0</v>
          </cell>
        </row>
        <row r="103">
          <cell r="I103">
            <v>0</v>
          </cell>
        </row>
        <row r="104">
          <cell r="I104">
            <v>0</v>
          </cell>
        </row>
        <row r="105">
          <cell r="I105">
            <v>0</v>
          </cell>
        </row>
        <row r="106">
          <cell r="I106">
            <v>0</v>
          </cell>
        </row>
        <row r="107">
          <cell r="I107">
            <v>0</v>
          </cell>
        </row>
        <row r="108">
          <cell r="I108">
            <v>0</v>
          </cell>
        </row>
        <row r="109">
          <cell r="I109">
            <v>0</v>
          </cell>
        </row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Y 2023"/>
      <sheetName val="CONTROL"/>
      <sheetName val="SCF REF"/>
      <sheetName val="Sheet1"/>
    </sheetNames>
    <sheetDataSet>
      <sheetData sheetId="0">
        <row r="135">
          <cell r="EL135">
            <v>24118.87</v>
          </cell>
        </row>
        <row r="168">
          <cell r="EL168">
            <v>15112.16</v>
          </cell>
        </row>
        <row r="221">
          <cell r="EL221">
            <v>13243.5</v>
          </cell>
        </row>
        <row r="227">
          <cell r="EL227">
            <v>6281.75</v>
          </cell>
        </row>
        <row r="228">
          <cell r="EL228">
            <v>1840.4</v>
          </cell>
        </row>
        <row r="229">
          <cell r="EL229">
            <v>3967.65</v>
          </cell>
        </row>
        <row r="237">
          <cell r="EL237">
            <v>1796.04</v>
          </cell>
        </row>
        <row r="240">
          <cell r="EL240">
            <v>1417.38</v>
          </cell>
        </row>
        <row r="241">
          <cell r="EL241">
            <v>553.21</v>
          </cell>
        </row>
        <row r="242">
          <cell r="EL242">
            <v>4959.09</v>
          </cell>
        </row>
        <row r="319">
          <cell r="EL319">
            <v>4882.43</v>
          </cell>
        </row>
        <row r="321">
          <cell r="EL321">
            <v>995.78</v>
          </cell>
        </row>
        <row r="324">
          <cell r="EL324">
            <v>6725.3</v>
          </cell>
        </row>
        <row r="325">
          <cell r="EL325">
            <v>2107.64</v>
          </cell>
        </row>
        <row r="326">
          <cell r="EL326">
            <v>685.76</v>
          </cell>
        </row>
        <row r="327">
          <cell r="EL327">
            <v>713.45</v>
          </cell>
        </row>
        <row r="442">
          <cell r="EL442">
            <v>701.94</v>
          </cell>
        </row>
        <row r="444">
          <cell r="EL444">
            <v>379.96</v>
          </cell>
        </row>
        <row r="446">
          <cell r="EL446">
            <v>701.94</v>
          </cell>
        </row>
        <row r="448">
          <cell r="EL448">
            <v>1399.26</v>
          </cell>
        </row>
        <row r="450">
          <cell r="EL450">
            <v>379.96</v>
          </cell>
        </row>
        <row r="588">
          <cell r="EL588">
            <v>14054.18</v>
          </cell>
        </row>
        <row r="589">
          <cell r="EL589">
            <v>2324.84</v>
          </cell>
        </row>
        <row r="590">
          <cell r="EL590">
            <v>4100</v>
          </cell>
        </row>
        <row r="591">
          <cell r="EL591">
            <v>998</v>
          </cell>
        </row>
        <row r="592">
          <cell r="EL592">
            <v>5136.5</v>
          </cell>
        </row>
        <row r="598">
          <cell r="EL598">
            <v>48338.400000000001</v>
          </cell>
        </row>
        <row r="599">
          <cell r="EL599">
            <v>7297</v>
          </cell>
        </row>
        <row r="600">
          <cell r="EL600">
            <v>19765.72</v>
          </cell>
        </row>
        <row r="601">
          <cell r="EL601">
            <v>2541.5</v>
          </cell>
        </row>
        <row r="602">
          <cell r="EL602">
            <v>6000</v>
          </cell>
        </row>
        <row r="603">
          <cell r="EL603">
            <v>3429.18</v>
          </cell>
        </row>
        <row r="604">
          <cell r="EL604">
            <v>13072.03</v>
          </cell>
        </row>
        <row r="605">
          <cell r="EL605">
            <v>9855</v>
          </cell>
        </row>
        <row r="606">
          <cell r="EL606">
            <v>14815.82</v>
          </cell>
        </row>
        <row r="623">
          <cell r="AU623">
            <v>8840.6000000000022</v>
          </cell>
        </row>
      </sheetData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 2023 SORT"/>
      <sheetName val="FEBRUARY 2023"/>
      <sheetName val="FEBRUARY 2023 SORT REV"/>
      <sheetName val="Sheet2"/>
      <sheetName val="CONTROL"/>
      <sheetName val="SCF REF"/>
      <sheetName val="Sheet1"/>
    </sheetNames>
    <sheetDataSet>
      <sheetData sheetId="0" refreshError="1"/>
      <sheetData sheetId="1" refreshError="1"/>
      <sheetData sheetId="2">
        <row r="5">
          <cell r="EL5">
            <v>1851.92</v>
          </cell>
        </row>
        <row r="74">
          <cell r="EL74">
            <v>555584.80000000005</v>
          </cell>
        </row>
        <row r="75">
          <cell r="EL75">
            <v>63165.2</v>
          </cell>
        </row>
        <row r="96">
          <cell r="EL96">
            <v>1259.3399999999999</v>
          </cell>
        </row>
        <row r="97">
          <cell r="EL97">
            <v>47926.94</v>
          </cell>
        </row>
        <row r="139">
          <cell r="EL139">
            <v>9806.25</v>
          </cell>
        </row>
        <row r="140">
          <cell r="EL140">
            <v>1700.8</v>
          </cell>
        </row>
        <row r="141">
          <cell r="EL141">
            <v>10000</v>
          </cell>
        </row>
        <row r="142">
          <cell r="EL142">
            <v>5000</v>
          </cell>
        </row>
        <row r="146">
          <cell r="EL146">
            <v>9889.65</v>
          </cell>
        </row>
        <row r="159">
          <cell r="EL159">
            <v>55415.31</v>
          </cell>
        </row>
        <row r="160">
          <cell r="EL160">
            <v>919.22</v>
          </cell>
        </row>
        <row r="203">
          <cell r="EL203">
            <v>4450</v>
          </cell>
        </row>
        <row r="204">
          <cell r="EL204">
            <v>3600</v>
          </cell>
        </row>
        <row r="205">
          <cell r="EL205">
            <v>3600</v>
          </cell>
        </row>
        <row r="206">
          <cell r="EL206">
            <v>2700</v>
          </cell>
        </row>
        <row r="207">
          <cell r="EL207">
            <v>6463.94</v>
          </cell>
        </row>
        <row r="208">
          <cell r="EL208">
            <v>1060.3900000000001</v>
          </cell>
        </row>
        <row r="232">
          <cell r="EL232">
            <v>8062.91</v>
          </cell>
        </row>
        <row r="233">
          <cell r="EL233">
            <v>3732.13</v>
          </cell>
        </row>
        <row r="445">
          <cell r="EL445">
            <v>133085.07</v>
          </cell>
        </row>
        <row r="456">
          <cell r="EL456">
            <v>95251</v>
          </cell>
        </row>
        <row r="504">
          <cell r="EL504">
            <v>56100</v>
          </cell>
        </row>
        <row r="505">
          <cell r="EL505">
            <v>18660</v>
          </cell>
        </row>
        <row r="602">
          <cell r="EL602">
            <v>27904</v>
          </cell>
        </row>
        <row r="610">
          <cell r="EL610">
            <v>11016</v>
          </cell>
        </row>
        <row r="624">
          <cell r="EL624">
            <v>3100</v>
          </cell>
        </row>
        <row r="686">
          <cell r="EL686">
            <v>420000</v>
          </cell>
        </row>
        <row r="687">
          <cell r="EL687">
            <v>290000</v>
          </cell>
        </row>
        <row r="718">
          <cell r="EL718">
            <v>656500</v>
          </cell>
        </row>
        <row r="745">
          <cell r="EL745">
            <v>5584.72</v>
          </cell>
        </row>
        <row r="746">
          <cell r="EL746">
            <v>1650</v>
          </cell>
        </row>
        <row r="747">
          <cell r="EL747">
            <v>850</v>
          </cell>
        </row>
        <row r="748">
          <cell r="EL748">
            <v>725</v>
          </cell>
        </row>
        <row r="768">
          <cell r="EL768">
            <v>43948.639999999999</v>
          </cell>
        </row>
        <row r="784">
          <cell r="EL784">
            <v>408.04</v>
          </cell>
        </row>
        <row r="786">
          <cell r="EL786">
            <v>408.04</v>
          </cell>
        </row>
        <row r="796">
          <cell r="EL796">
            <v>4800</v>
          </cell>
        </row>
        <row r="797">
          <cell r="EL797">
            <v>2400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CH 2023 sorted per acct"/>
      <sheetName val="MARCH 2023 arranged per ADA"/>
      <sheetName val="CONTROL"/>
      <sheetName val="SCF REF"/>
      <sheetName val="Sheet1"/>
    </sheetNames>
    <sheetDataSet>
      <sheetData sheetId="0"/>
      <sheetData sheetId="1">
        <row r="258">
          <cell r="AV258">
            <v>179.68</v>
          </cell>
        </row>
        <row r="282">
          <cell r="AV282">
            <v>841.06</v>
          </cell>
        </row>
        <row r="424">
          <cell r="AV424">
            <v>8</v>
          </cell>
        </row>
        <row r="447">
          <cell r="AV447">
            <v>0.02</v>
          </cell>
        </row>
        <row r="1518">
          <cell r="AV1518">
            <v>4660</v>
          </cell>
        </row>
        <row r="2865">
          <cell r="EM2865">
            <v>455817</v>
          </cell>
        </row>
        <row r="2866">
          <cell r="EM2866">
            <v>1989119.63</v>
          </cell>
        </row>
        <row r="2867">
          <cell r="EM2867">
            <v>305748</v>
          </cell>
        </row>
        <row r="2868">
          <cell r="EM2868">
            <v>845533.82</v>
          </cell>
        </row>
        <row r="2869">
          <cell r="EM2869">
            <v>449287.84</v>
          </cell>
        </row>
        <row r="2870">
          <cell r="EM2870">
            <v>186017.38</v>
          </cell>
        </row>
        <row r="2871">
          <cell r="EM2871">
            <v>18396</v>
          </cell>
        </row>
        <row r="2872">
          <cell r="EM2872">
            <v>195340</v>
          </cell>
        </row>
        <row r="2873">
          <cell r="EM2873">
            <v>7200</v>
          </cell>
        </row>
        <row r="2874">
          <cell r="EM2874">
            <v>900</v>
          </cell>
        </row>
        <row r="2875">
          <cell r="EM2875">
            <v>413821.92</v>
          </cell>
        </row>
        <row r="2876">
          <cell r="EM2876">
            <v>268878.54000000004</v>
          </cell>
        </row>
        <row r="2877">
          <cell r="EM2877">
            <v>620623.19999999995</v>
          </cell>
        </row>
        <row r="2878">
          <cell r="EM2878">
            <v>519632.75</v>
          </cell>
        </row>
        <row r="2879">
          <cell r="EM2879">
            <v>156521.99</v>
          </cell>
        </row>
        <row r="2880">
          <cell r="EM2880">
            <v>5429156.4000000004</v>
          </cell>
        </row>
        <row r="2881">
          <cell r="EM2881">
            <v>70000</v>
          </cell>
        </row>
        <row r="2882">
          <cell r="EM2882">
            <v>117350</v>
          </cell>
        </row>
        <row r="2883">
          <cell r="EM2883">
            <v>729474.18</v>
          </cell>
        </row>
      </sheetData>
      <sheetData sheetId="2">
        <row r="7">
          <cell r="C7">
            <v>1010101000</v>
          </cell>
        </row>
      </sheetData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January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1">
          <cell r="H11">
            <v>13018200</v>
          </cell>
        </row>
        <row r="573">
          <cell r="H573">
            <v>5000000</v>
          </cell>
        </row>
        <row r="636">
          <cell r="H636">
            <v>177388.37</v>
          </cell>
        </row>
        <row r="671">
          <cell r="H671">
            <v>9000</v>
          </cell>
        </row>
        <row r="712">
          <cell r="H712">
            <v>6.44</v>
          </cell>
        </row>
        <row r="713">
          <cell r="I713">
            <v>6.44</v>
          </cell>
        </row>
      </sheetData>
      <sheetData sheetId="12">
        <row r="12">
          <cell r="H12">
            <v>2402155.3300000005</v>
          </cell>
        </row>
      </sheetData>
      <sheetData sheetId="13"/>
      <sheetData sheetId="14"/>
      <sheetData sheetId="15">
        <row r="607">
          <cell r="H607">
            <v>198.82</v>
          </cell>
        </row>
        <row r="1840">
          <cell r="I1840">
            <v>83059.5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"/>
    </sheetNames>
    <sheetDataSet>
      <sheetData sheetId="0">
        <row r="259">
          <cell r="G259">
            <v>14986824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"/>
    </sheetNames>
    <sheetDataSet>
      <sheetData sheetId="0">
        <row r="463">
          <cell r="G463">
            <v>24764827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V-GJ."/>
      <sheetName val="FC 1"/>
      <sheetName val="Subsidies (APRIL)"/>
      <sheetName val="Liquidations"/>
    </sheetNames>
    <sheetDataSet>
      <sheetData sheetId="0">
        <row r="11">
          <cell r="H11">
            <v>1679613.049787607</v>
          </cell>
        </row>
        <row r="115">
          <cell r="H115">
            <v>5083708.3591994308</v>
          </cell>
        </row>
      </sheetData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March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>
        <row r="145">
          <cell r="I145">
            <v>4200</v>
          </cell>
        </row>
        <row r="167">
          <cell r="H167">
            <v>900</v>
          </cell>
        </row>
      </sheetData>
      <sheetData sheetId="7"/>
      <sheetData sheetId="8"/>
      <sheetData sheetId="9"/>
      <sheetData sheetId="10"/>
      <sheetData sheetId="11">
        <row r="11">
          <cell r="H11">
            <v>245751150.47</v>
          </cell>
        </row>
        <row r="283">
          <cell r="H283">
            <v>50000</v>
          </cell>
        </row>
      </sheetData>
      <sheetData sheetId="12">
        <row r="12">
          <cell r="H12">
            <v>3905156.4299999997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32">
          <cell r="G132">
            <v>25694.05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February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>
        <row r="13">
          <cell r="G13">
            <v>3.62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H12">
            <v>28762700</v>
          </cell>
        </row>
        <row r="283">
          <cell r="H283">
            <v>75000</v>
          </cell>
        </row>
      </sheetData>
      <sheetData sheetId="12">
        <row r="12">
          <cell r="H12">
            <v>5229134.88</v>
          </cell>
        </row>
      </sheetData>
      <sheetData sheetId="13"/>
      <sheetData sheetId="14"/>
      <sheetData sheetId="15">
        <row r="4481">
          <cell r="I4481">
            <v>605907.75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N122">
            <v>13608900</v>
          </cell>
          <cell r="P122">
            <v>7082693.3999999994</v>
          </cell>
          <cell r="Q122">
            <v>18000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Sheet1"/>
      <sheetName val="FC1CSFP"/>
      <sheetName val="FC1DIS"/>
      <sheetName val="Sheet3"/>
      <sheetName val="Sheet2"/>
      <sheetName val="FC1CIS"/>
      <sheetName val="tb control"/>
      <sheetName val="FC1-Pre TB"/>
      <sheetName val="FC1-Post TB "/>
      <sheetName val="Distri."/>
      <sheetName val="Consu."/>
      <sheetName val="SE"/>
      <sheetName val="SE - Furniture"/>
      <sheetName val="FC1 post tb-June"/>
      <sheetName val="FO X June 2016"/>
    </sheetNames>
    <sheetDataSet>
      <sheetData sheetId="0">
        <row r="15">
          <cell r="J15">
            <v>644128087.20999944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F122">
            <v>80900</v>
          </cell>
          <cell r="G122">
            <v>5782</v>
          </cell>
          <cell r="H122">
            <v>372000</v>
          </cell>
          <cell r="I122">
            <v>0</v>
          </cell>
          <cell r="N122">
            <v>1769613.1</v>
          </cell>
          <cell r="P122">
            <v>2197356.5299999998</v>
          </cell>
          <cell r="T122">
            <v>115837159.14999999</v>
          </cell>
          <cell r="U122">
            <v>1131284.5</v>
          </cell>
        </row>
      </sheetData>
      <sheetData sheetId="2"/>
      <sheetData sheetId="3"/>
      <sheetData sheetId="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F122">
            <v>269600</v>
          </cell>
          <cell r="T122">
            <v>172322395.05999994</v>
          </cell>
        </row>
      </sheetData>
      <sheetData sheetId="2">
        <row r="118">
          <cell r="N118">
            <v>9313019.4500000048</v>
          </cell>
        </row>
      </sheetData>
      <sheetData sheetId="3"/>
      <sheetData sheetId="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H122">
            <v>26000</v>
          </cell>
          <cell r="N122">
            <v>50000</v>
          </cell>
          <cell r="P122">
            <v>44448680.820000008</v>
          </cell>
          <cell r="Q122">
            <v>465797.54</v>
          </cell>
          <cell r="T122">
            <v>81845565.350000009</v>
          </cell>
        </row>
      </sheetData>
      <sheetData sheetId="2"/>
      <sheetData sheetId="3"/>
      <sheetData sheetId="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 JADE"/>
      <sheetName val="CRJ FC7.Control"/>
      <sheetName val="SDO-NIKKI"/>
      <sheetName val="CDJ LGU (VL)"/>
      <sheetName val="LGU CONTROL"/>
      <sheetName val="CDJ-AOE (VL)"/>
      <sheetName val="JEV-GJ."/>
      <sheetName val="Sheet2"/>
      <sheetName val="JEV-GJ.Control"/>
      <sheetName val="FC 1 CLOSING ENTRY"/>
      <sheetName val="Post Closing Entry"/>
      <sheetName val="details.906"/>
      <sheetName val="JULY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>
        <row r="4">
          <cell r="B4">
            <v>1010101000</v>
          </cell>
          <cell r="C4" t="str">
            <v>Cash - Collecting Officers</v>
          </cell>
        </row>
        <row r="5">
          <cell r="B5">
            <v>1990102000</v>
          </cell>
          <cell r="C5" t="str">
            <v>Advances for Payroll</v>
          </cell>
        </row>
        <row r="6">
          <cell r="B6">
            <v>1990103000</v>
          </cell>
          <cell r="C6" t="str">
            <v xml:space="preserve">Advances to Special Disbursing Officer </v>
          </cell>
        </row>
        <row r="7">
          <cell r="B7">
            <v>1010102000</v>
          </cell>
          <cell r="C7" t="str">
            <v>Petty Cash Fund</v>
          </cell>
        </row>
        <row r="8">
          <cell r="B8">
            <v>1010404000</v>
          </cell>
          <cell r="C8" t="str">
            <v>Cash-National Treasury, Modified Disbursement System, Regular</v>
          </cell>
        </row>
        <row r="9">
          <cell r="B9">
            <v>1010202016</v>
          </cell>
          <cell r="C9" t="str">
            <v>Cash in Bank-Local Currency, Current Account - DBP</v>
          </cell>
        </row>
        <row r="10">
          <cell r="B10">
            <v>1010202024</v>
          </cell>
          <cell r="C10" t="str">
            <v>Cash in Bank-Local Currency, Current Account - LBP</v>
          </cell>
        </row>
        <row r="11">
          <cell r="B11">
            <v>1010202030</v>
          </cell>
          <cell r="C11" t="str">
            <v>Cash in Bank-Local Currency, Current Account - Postal Savings</v>
          </cell>
        </row>
        <row r="12">
          <cell r="B12">
            <v>1010409000</v>
          </cell>
          <cell r="C12" t="str">
            <v xml:space="preserve">Cash-Constructive Disbursements </v>
          </cell>
        </row>
        <row r="13">
          <cell r="B13">
            <v>1010408000</v>
          </cell>
          <cell r="C13" t="str">
            <v>Cash-Constructive Income and Other Remittance</v>
          </cell>
        </row>
        <row r="14">
          <cell r="B14">
            <v>1030101000</v>
          </cell>
          <cell r="C14" t="str">
            <v>Accounts Receivable</v>
          </cell>
        </row>
        <row r="15">
          <cell r="B15">
            <v>1039902000</v>
          </cell>
          <cell r="C15" t="str">
            <v>Due from Officers and Employees</v>
          </cell>
        </row>
        <row r="16">
          <cell r="B16">
            <v>1030199000</v>
          </cell>
          <cell r="C16" t="str">
            <v>Loan Receivable - Others</v>
          </cell>
        </row>
        <row r="17">
          <cell r="B17">
            <v>1010401000</v>
          </cell>
          <cell r="C17" t="str">
            <v>Cash - Treasury/Agency Deposit, Regular</v>
          </cell>
        </row>
        <row r="18">
          <cell r="B18">
            <v>1010403000</v>
          </cell>
          <cell r="C18" t="str">
            <v>Cash - Treasury/Agency Deposit, Trust</v>
          </cell>
        </row>
        <row r="19">
          <cell r="B19">
            <v>1010405000</v>
          </cell>
          <cell r="C19" t="str">
            <v xml:space="preserve">Cash - MDS, Special Account </v>
          </cell>
        </row>
        <row r="20">
          <cell r="B20">
            <v>1010406000</v>
          </cell>
          <cell r="C20" t="str">
            <v>Cash - MDS, Trust</v>
          </cell>
        </row>
        <row r="21">
          <cell r="B21">
            <v>1010407000</v>
          </cell>
          <cell r="C21" t="str">
            <v>Cash - Tax Remittance Advice</v>
          </cell>
        </row>
        <row r="22">
          <cell r="B22">
            <v>1030301000</v>
          </cell>
          <cell r="C22" t="str">
            <v>Due from NGAs</v>
          </cell>
        </row>
        <row r="23">
          <cell r="B23">
            <v>1030302000</v>
          </cell>
          <cell r="C23" t="str">
            <v>Due from GOCCs</v>
          </cell>
        </row>
        <row r="24">
          <cell r="B24">
            <v>1030303000</v>
          </cell>
          <cell r="C24" t="str">
            <v>Due from LGUs</v>
          </cell>
        </row>
        <row r="25">
          <cell r="B25">
            <v>1039903000</v>
          </cell>
          <cell r="C25" t="str">
            <v>Due from NGOs/POs</v>
          </cell>
        </row>
        <row r="26">
          <cell r="B26">
            <v>1030405000</v>
          </cell>
          <cell r="C26" t="str">
            <v>Due from Other Funds</v>
          </cell>
        </row>
        <row r="27">
          <cell r="B27">
            <v>1990104000</v>
          </cell>
          <cell r="C27" t="str">
            <v>Advances to Officers and Employees</v>
          </cell>
        </row>
        <row r="28">
          <cell r="B28">
            <v>1039999000</v>
          </cell>
          <cell r="C28" t="str">
            <v>Other Receivables</v>
          </cell>
        </row>
        <row r="29">
          <cell r="B29">
            <v>1040202000</v>
          </cell>
          <cell r="C29" t="str">
            <v>Welfare Goods for Distribution</v>
          </cell>
        </row>
        <row r="30">
          <cell r="B30">
            <v>1040299000</v>
          </cell>
          <cell r="C30" t="str">
            <v>Other Supplies and Materials for Distribution</v>
          </cell>
        </row>
        <row r="31">
          <cell r="B31">
            <v>1040401000</v>
          </cell>
          <cell r="C31" t="str">
            <v>Office Supplies Inventory</v>
          </cell>
        </row>
        <row r="32">
          <cell r="B32">
            <v>1040405000</v>
          </cell>
          <cell r="C32" t="str">
            <v>Food Supplies Inventory</v>
          </cell>
        </row>
        <row r="33">
          <cell r="B33">
            <v>1040406000</v>
          </cell>
          <cell r="C33" t="str">
            <v>Drugs and Medicines Inventory</v>
          </cell>
        </row>
        <row r="34">
          <cell r="B34">
            <v>1040407000</v>
          </cell>
          <cell r="C34" t="str">
            <v xml:space="preserve">Medical, Dental and Laboratory Supplies Inventory </v>
          </cell>
        </row>
        <row r="35">
          <cell r="B35">
            <v>1040408000</v>
          </cell>
          <cell r="C35" t="str">
            <v>Gasoline, Oil and Lubricants Inventory</v>
          </cell>
        </row>
        <row r="36">
          <cell r="B36">
            <v>1040499000</v>
          </cell>
          <cell r="C36" t="str">
            <v>Other Supplies Inventory</v>
          </cell>
        </row>
        <row r="37">
          <cell r="B37">
            <v>1040413000</v>
          </cell>
          <cell r="C37" t="str">
            <v>Construction Materials Inventory</v>
          </cell>
        </row>
        <row r="38">
          <cell r="B38">
            <v>1040501000</v>
          </cell>
          <cell r="C38" t="str">
            <v>Semi-Expendable Machinery</v>
          </cell>
        </row>
        <row r="39">
          <cell r="B39">
            <v>1040502000</v>
          </cell>
          <cell r="C39" t="str">
            <v>Semi-Expendable Office Equipment</v>
          </cell>
        </row>
        <row r="40">
          <cell r="B40">
            <v>1040503000</v>
          </cell>
          <cell r="C40" t="str">
            <v>Semi-Expendable Information and Communications Tech. Equipment</v>
          </cell>
        </row>
        <row r="41">
          <cell r="B41">
            <v>1040507000</v>
          </cell>
          <cell r="C41" t="str">
            <v xml:space="preserve">Semi-Expendable Communication Equipment </v>
          </cell>
        </row>
        <row r="42">
          <cell r="B42">
            <v>1040510000</v>
          </cell>
          <cell r="C42" t="str">
            <v>Semi-Expendable Medical Equipment</v>
          </cell>
        </row>
        <row r="43">
          <cell r="B43">
            <v>1040512000</v>
          </cell>
          <cell r="C43" t="str">
            <v>Semi-Expendable Sports equipment</v>
          </cell>
        </row>
        <row r="44">
          <cell r="B44">
            <v>1040513000</v>
          </cell>
          <cell r="C44" t="str">
            <v>Semi-Expendable Technical and Scientific equipment</v>
          </cell>
        </row>
        <row r="45">
          <cell r="B45">
            <v>1040599000</v>
          </cell>
          <cell r="C45" t="str">
            <v>Semi-Expendable other machinery and equipment</v>
          </cell>
        </row>
        <row r="46">
          <cell r="B46">
            <v>1040601000</v>
          </cell>
          <cell r="C46" t="str">
            <v>Semi-Expendable Furniture and Fixtures</v>
          </cell>
        </row>
        <row r="47">
          <cell r="B47">
            <v>1040602000</v>
          </cell>
          <cell r="C47" t="str">
            <v>Semi-Expendable Books</v>
          </cell>
        </row>
        <row r="48">
          <cell r="B48">
            <v>1990202000</v>
          </cell>
          <cell r="C48" t="str">
            <v>Prepaid Rent</v>
          </cell>
        </row>
        <row r="49">
          <cell r="B49">
            <v>1990210001</v>
          </cell>
          <cell r="C49" t="str">
            <v>Prepaid Subscription-ICT Software Subscription</v>
          </cell>
        </row>
        <row r="50">
          <cell r="B50">
            <v>1020399000</v>
          </cell>
          <cell r="C50" t="str">
            <v>Other Investments and Marketable Securities</v>
          </cell>
        </row>
        <row r="51">
          <cell r="B51">
            <v>1060101000</v>
          </cell>
          <cell r="C51" t="str">
            <v>Land</v>
          </cell>
        </row>
        <row r="52">
          <cell r="B52">
            <v>1060299000</v>
          </cell>
          <cell r="C52" t="str">
            <v>Other Land Improvements</v>
          </cell>
        </row>
        <row r="53">
          <cell r="B53">
            <v>1060401000</v>
          </cell>
          <cell r="C53" t="str">
            <v>Buildings</v>
          </cell>
        </row>
        <row r="54">
          <cell r="B54">
            <v>1060499000</v>
          </cell>
          <cell r="C54" t="str">
            <v>Other Structures</v>
          </cell>
        </row>
        <row r="55">
          <cell r="B55">
            <v>1060501000</v>
          </cell>
          <cell r="C55" t="str">
            <v>Machinery</v>
          </cell>
        </row>
        <row r="56">
          <cell r="B56">
            <v>1060701000</v>
          </cell>
          <cell r="C56" t="str">
            <v>Furniture and Fixtures</v>
          </cell>
        </row>
        <row r="57">
          <cell r="B57">
            <v>1060702000</v>
          </cell>
          <cell r="C57" t="str">
            <v>Books</v>
          </cell>
        </row>
        <row r="58">
          <cell r="B58">
            <v>1060502000</v>
          </cell>
          <cell r="C58" t="str">
            <v>Office Equipment</v>
          </cell>
        </row>
        <row r="59">
          <cell r="B59">
            <v>1060503000</v>
          </cell>
          <cell r="C59" t="str">
            <v>Information and Communication Technology Equipment</v>
          </cell>
        </row>
        <row r="60">
          <cell r="B60">
            <v>1060507000</v>
          </cell>
          <cell r="C60" t="str">
            <v>Communication Equipment</v>
          </cell>
        </row>
        <row r="61">
          <cell r="B61">
            <v>1060509000</v>
          </cell>
          <cell r="C61" t="str">
            <v>Disaster Response and Rescue Equipment</v>
          </cell>
        </row>
        <row r="62">
          <cell r="B62">
            <v>1060511000</v>
          </cell>
          <cell r="C62" t="str">
            <v>Medical Equipment</v>
          </cell>
        </row>
        <row r="63">
          <cell r="B63">
            <v>1060513000</v>
          </cell>
          <cell r="C63" t="str">
            <v>Sports Equipment</v>
          </cell>
        </row>
        <row r="64">
          <cell r="B64">
            <v>1060514000</v>
          </cell>
          <cell r="C64" t="str">
            <v>Technical and Scientific Equipment</v>
          </cell>
        </row>
        <row r="65">
          <cell r="B65">
            <v>1060599000</v>
          </cell>
          <cell r="C65" t="str">
            <v>Other Machinery &amp; Equipment</v>
          </cell>
        </row>
        <row r="66">
          <cell r="B66">
            <v>1060601000</v>
          </cell>
          <cell r="C66" t="str">
            <v>Motor Vehicles</v>
          </cell>
        </row>
        <row r="67">
          <cell r="B67">
            <v>1069999000</v>
          </cell>
          <cell r="C67" t="str">
            <v>Other Property, Plant and Equipment</v>
          </cell>
        </row>
        <row r="68">
          <cell r="B68">
            <v>1080102000</v>
          </cell>
          <cell r="C68" t="str">
            <v>Computer software</v>
          </cell>
        </row>
        <row r="69">
          <cell r="B69">
            <v>1990201000</v>
          </cell>
          <cell r="C69" t="str">
            <v>Advances to Contractors</v>
          </cell>
        </row>
        <row r="70">
          <cell r="B70">
            <v>1990205000</v>
          </cell>
          <cell r="C70" t="str">
            <v>Prepaid Insurance</v>
          </cell>
        </row>
        <row r="71">
          <cell r="B71">
            <v>1060401100</v>
          </cell>
          <cell r="C71" t="str">
            <v>Accumulated Depreciation-Buildings</v>
          </cell>
        </row>
        <row r="72">
          <cell r="B72">
            <v>1060299100</v>
          </cell>
          <cell r="C72" t="str">
            <v>Accumulated Depreciation-Other Land Improvements</v>
          </cell>
        </row>
        <row r="73">
          <cell r="B73">
            <v>1060499100</v>
          </cell>
          <cell r="C73" t="str">
            <v>Accumulated Depreciation-Other Structures</v>
          </cell>
        </row>
        <row r="74">
          <cell r="B74">
            <v>1060701100</v>
          </cell>
          <cell r="C74" t="str">
            <v>Accumulated Depreciation-Furniture and Fixtures</v>
          </cell>
        </row>
        <row r="75">
          <cell r="B75">
            <v>1060702100</v>
          </cell>
          <cell r="C75" t="str">
            <v>Accumulated Depreciation-Books</v>
          </cell>
        </row>
        <row r="76">
          <cell r="B76">
            <v>1060502100</v>
          </cell>
          <cell r="C76" t="str">
            <v>Accumulated Depreciation-Office Equipment</v>
          </cell>
        </row>
        <row r="77">
          <cell r="B77">
            <v>1060503100</v>
          </cell>
          <cell r="C77" t="str">
            <v>Accumulated Depreciation-Information and Communication Technology Equipment</v>
          </cell>
        </row>
        <row r="78">
          <cell r="B78">
            <v>1060507100</v>
          </cell>
          <cell r="C78" t="str">
            <v>Accumulated Depreciation-Communication Equipment</v>
          </cell>
        </row>
        <row r="79">
          <cell r="B79">
            <v>1060509100</v>
          </cell>
          <cell r="C79" t="str">
            <v>Accumulated Depreciation-Disaster Response and Rescue Equipment</v>
          </cell>
        </row>
        <row r="80">
          <cell r="B80">
            <v>1060511100</v>
          </cell>
          <cell r="C80" t="str">
            <v>Accumulated Depreciation-Medical Equipment</v>
          </cell>
        </row>
        <row r="81">
          <cell r="B81">
            <v>1060513100</v>
          </cell>
          <cell r="C81" t="str">
            <v>Accumulated Depreciation-Sports Equipment</v>
          </cell>
        </row>
        <row r="82">
          <cell r="B82">
            <v>1060514100</v>
          </cell>
          <cell r="C82" t="str">
            <v>Accumulated Depreciation-Technical and Scientific Equipment</v>
          </cell>
        </row>
        <row r="83">
          <cell r="B83">
            <v>1060599100</v>
          </cell>
          <cell r="C83" t="str">
            <v>Accumulated Depreciation-Other Machinery &amp; Equipment</v>
          </cell>
        </row>
        <row r="84">
          <cell r="B84">
            <v>1060601100</v>
          </cell>
          <cell r="C84" t="str">
            <v>Accumulated Depreciation-Motor Vehicles</v>
          </cell>
        </row>
        <row r="85">
          <cell r="B85">
            <v>1069999100</v>
          </cell>
          <cell r="C85" t="str">
            <v>Accumulated Depreciation-Other Property, Plant and Equipment</v>
          </cell>
        </row>
        <row r="86">
          <cell r="B86">
            <v>1080102100</v>
          </cell>
          <cell r="C86" t="str">
            <v>Accumulated Amortization-Computer Software</v>
          </cell>
        </row>
        <row r="87">
          <cell r="B87">
            <v>1069803000</v>
          </cell>
          <cell r="C87" t="str">
            <v>Construction in Progress - Buildings and Other Structures</v>
          </cell>
        </row>
        <row r="88">
          <cell r="B88">
            <v>2010101000</v>
          </cell>
          <cell r="C88" t="str">
            <v>Accounts Payable</v>
          </cell>
        </row>
        <row r="89">
          <cell r="B89">
            <v>2010102000</v>
          </cell>
          <cell r="C89" t="str">
            <v>Due to Officers and Employees</v>
          </cell>
        </row>
        <row r="90">
          <cell r="B90">
            <v>2040104000</v>
          </cell>
          <cell r="C90" t="str">
            <v>Guaranty/Security Payable</v>
          </cell>
        </row>
        <row r="91">
          <cell r="B91">
            <v>2020101000</v>
          </cell>
          <cell r="C91" t="str">
            <v>Due to BIR</v>
          </cell>
        </row>
        <row r="92">
          <cell r="B92">
            <v>2020102000</v>
          </cell>
          <cell r="C92" t="str">
            <v>Due to GSIS</v>
          </cell>
        </row>
        <row r="93">
          <cell r="B93">
            <v>2020102001</v>
          </cell>
          <cell r="C93" t="str">
            <v xml:space="preserve">Due to GSIS - Life and Retirement Premium </v>
          </cell>
        </row>
        <row r="94">
          <cell r="B94">
            <v>2020102002</v>
          </cell>
          <cell r="C94" t="str">
            <v>Due to GSIS - ECC</v>
          </cell>
        </row>
        <row r="95">
          <cell r="B95">
            <v>2020102003</v>
          </cell>
          <cell r="C95" t="str">
            <v>Due to GSIS - Salary Loan</v>
          </cell>
        </row>
        <row r="96">
          <cell r="B96">
            <v>2020102004</v>
          </cell>
          <cell r="C96" t="str">
            <v>Due to GSIS - Policy Loan</v>
          </cell>
        </row>
        <row r="97">
          <cell r="B97">
            <v>2020103000</v>
          </cell>
          <cell r="C97" t="str">
            <v>Due to PAG-IBIG</v>
          </cell>
        </row>
        <row r="98">
          <cell r="B98">
            <v>2020103001</v>
          </cell>
          <cell r="C98" t="str">
            <v>Due to PAG-IBIG - Premium</v>
          </cell>
        </row>
        <row r="99">
          <cell r="B99">
            <v>2020103002</v>
          </cell>
          <cell r="C99" t="str">
            <v>Due to PAG-IBIG Multi Purpose Loan</v>
          </cell>
        </row>
        <row r="100">
          <cell r="B100">
            <v>2020103003</v>
          </cell>
          <cell r="C100" t="str">
            <v>Due to PAG-IBIG Housing Loan</v>
          </cell>
        </row>
        <row r="101">
          <cell r="B101">
            <v>2020104000</v>
          </cell>
          <cell r="C101" t="str">
            <v>Due to PHILHEALTH</v>
          </cell>
        </row>
        <row r="102">
          <cell r="B102">
            <v>2020105000</v>
          </cell>
          <cell r="C102" t="str">
            <v>Due to NGA's</v>
          </cell>
        </row>
        <row r="103">
          <cell r="B103">
            <v>2020106000</v>
          </cell>
          <cell r="C103" t="str">
            <v>Due To GOCCs</v>
          </cell>
        </row>
        <row r="104">
          <cell r="B104">
            <v>2020107000</v>
          </cell>
          <cell r="C104" t="str">
            <v>Due to LGUs</v>
          </cell>
        </row>
        <row r="105">
          <cell r="B105">
            <v>2030101000</v>
          </cell>
          <cell r="C105" t="str">
            <v>Due to Central Office</v>
          </cell>
        </row>
        <row r="106">
          <cell r="B106">
            <v>2030103000</v>
          </cell>
          <cell r="C106" t="str">
            <v>Due to Regional Offices</v>
          </cell>
        </row>
        <row r="107">
          <cell r="B107">
            <v>2030105000</v>
          </cell>
          <cell r="C107" t="str">
            <v>Due to Other Funds</v>
          </cell>
        </row>
        <row r="108">
          <cell r="B108">
            <v>2040101000</v>
          </cell>
          <cell r="C108" t="str">
            <v xml:space="preserve">Trust Liabilities   </v>
          </cell>
        </row>
        <row r="109">
          <cell r="B109">
            <v>2040102000</v>
          </cell>
          <cell r="C109" t="str">
            <v>Trust Liabilities - Disaster Risk Reduction and Management Fund</v>
          </cell>
        </row>
        <row r="110">
          <cell r="B110">
            <v>2999999000</v>
          </cell>
          <cell r="C110" t="str">
            <v>Other Payables</v>
          </cell>
        </row>
        <row r="111">
          <cell r="B111">
            <v>3010101000</v>
          </cell>
          <cell r="C111" t="str">
            <v>Accumulated Surplus (Deficit)</v>
          </cell>
        </row>
        <row r="112">
          <cell r="B112">
            <v>4020106000</v>
          </cell>
          <cell r="C112" t="str">
            <v>Licensing Fees</v>
          </cell>
        </row>
        <row r="113">
          <cell r="B113">
            <v>4020101099</v>
          </cell>
          <cell r="C113" t="str">
            <v>Other Permit Fees</v>
          </cell>
        </row>
        <row r="114">
          <cell r="B114">
            <v>4020102000</v>
          </cell>
          <cell r="C114" t="str">
            <v>Registration Fees</v>
          </cell>
        </row>
        <row r="115">
          <cell r="B115">
            <v>4020104001</v>
          </cell>
          <cell r="C115" t="str">
            <v>Clearance and Certification Fees</v>
          </cell>
        </row>
        <row r="116">
          <cell r="B116">
            <v>4030101000</v>
          </cell>
          <cell r="C116" t="str">
            <v>Subsidy from National Government</v>
          </cell>
        </row>
        <row r="117">
          <cell r="B117">
            <v>4030102000</v>
          </cell>
          <cell r="C117" t="str">
            <v>Assistance from Other National Government Agencies</v>
          </cell>
        </row>
        <row r="118">
          <cell r="B118">
            <v>4030106000</v>
          </cell>
          <cell r="C118" t="str">
            <v>Subsidy from Central Office</v>
          </cell>
        </row>
        <row r="119">
          <cell r="B119">
            <v>4040201000</v>
          </cell>
          <cell r="C119" t="str">
            <v>Income from Grants and Donations in Cash</v>
          </cell>
        </row>
        <row r="120">
          <cell r="B120">
            <v>4040202000</v>
          </cell>
          <cell r="C120" t="str">
            <v>Income from Grants and Donations in Kind</v>
          </cell>
        </row>
        <row r="121">
          <cell r="B121">
            <v>4020114000</v>
          </cell>
          <cell r="C121" t="str">
            <v>Fines and Penalties - Service Income</v>
          </cell>
        </row>
        <row r="122">
          <cell r="B122">
            <v>4020202000</v>
          </cell>
          <cell r="C122" t="str">
            <v>Affiliation Fees</v>
          </cell>
        </row>
        <row r="123">
          <cell r="B123">
            <v>4020205000</v>
          </cell>
          <cell r="C123" t="str">
            <v>Rent/Lease Income</v>
          </cell>
        </row>
        <row r="124">
          <cell r="B124">
            <v>4020213000</v>
          </cell>
          <cell r="C124" t="str">
            <v>Income from Hostels/Dormitories and Other Like Facilities</v>
          </cell>
        </row>
        <row r="125">
          <cell r="B125">
            <v>4020221099</v>
          </cell>
          <cell r="C125" t="str">
            <v>Interest Income</v>
          </cell>
        </row>
        <row r="126">
          <cell r="B126">
            <v>4050199000</v>
          </cell>
          <cell r="C126" t="str">
            <v>Other Gains</v>
          </cell>
        </row>
        <row r="127">
          <cell r="B127">
            <v>4069999000</v>
          </cell>
          <cell r="C127" t="str">
            <v xml:space="preserve">Miscellaneous Income </v>
          </cell>
        </row>
        <row r="128">
          <cell r="B128">
            <v>5010101001</v>
          </cell>
          <cell r="C128" t="str">
            <v>Salaries and Wages - Regular</v>
          </cell>
        </row>
        <row r="129">
          <cell r="B129">
            <v>5010102000</v>
          </cell>
          <cell r="C129" t="str">
            <v>Salaries and Wages - Casual/Contracutal</v>
          </cell>
        </row>
        <row r="130">
          <cell r="B130">
            <v>5010201001</v>
          </cell>
          <cell r="C130" t="str">
            <v>Personnel Economic Relief Allowance (Civilian)</v>
          </cell>
        </row>
        <row r="131">
          <cell r="B131">
            <v>5010210001</v>
          </cell>
          <cell r="C131" t="str">
            <v>Honoraria (Civilian)</v>
          </cell>
        </row>
        <row r="132">
          <cell r="B132">
            <v>5010211002</v>
          </cell>
          <cell r="C132" t="str">
            <v>Hazard Pay (Civilian)</v>
          </cell>
        </row>
        <row r="133">
          <cell r="B133">
            <v>5010212001</v>
          </cell>
          <cell r="C133" t="str">
            <v>Longevity Pay (Civilian)</v>
          </cell>
        </row>
        <row r="134">
          <cell r="B134">
            <v>5010202000</v>
          </cell>
          <cell r="C134" t="str">
            <v>Representation Allowance</v>
          </cell>
        </row>
        <row r="135">
          <cell r="B135">
            <v>5010203001</v>
          </cell>
          <cell r="C135" t="str">
            <v>Transportation Allowance</v>
          </cell>
        </row>
        <row r="136">
          <cell r="B136">
            <v>5010204001</v>
          </cell>
          <cell r="C136" t="str">
            <v>Clothing/Uniform Allowance</v>
          </cell>
        </row>
        <row r="137">
          <cell r="B137">
            <v>5010205003</v>
          </cell>
          <cell r="C137" t="str">
            <v>Subsistence Allowance - Magna Carta Benefits for Public Health Workers under RA 7305</v>
          </cell>
        </row>
        <row r="138">
          <cell r="B138">
            <v>5010205004</v>
          </cell>
          <cell r="C138" t="str">
            <v>Subsistence Allowance - Magna Carta Benefits for Public Social Workers under RA 9432</v>
          </cell>
        </row>
        <row r="139">
          <cell r="B139">
            <v>5010211006</v>
          </cell>
          <cell r="C139" t="str">
            <v>Hazard Pay - Magna Carta Benefits for Public Social Workers under RA 9432</v>
          </cell>
        </row>
        <row r="140">
          <cell r="B140">
            <v>5010206004</v>
          </cell>
          <cell r="C140" t="str">
            <v>Laundry Allowance- Magna Carta Benefits for Public Health Workers under RA 7305</v>
          </cell>
        </row>
        <row r="141">
          <cell r="B141">
            <v>5010207004</v>
          </cell>
          <cell r="C141" t="str">
            <v>Quarters Allowance- Magna Carta Benefits for Public Health Workers under RA 7305</v>
          </cell>
        </row>
        <row r="142">
          <cell r="B142">
            <v>5010208001</v>
          </cell>
          <cell r="C142" t="str">
            <v>Productivity Incentive Allowance (Civilian)</v>
          </cell>
        </row>
        <row r="143">
          <cell r="B143">
            <v>5010299011</v>
          </cell>
          <cell r="C143" t="str">
            <v>Collective Negotiation Agreement Incentive (Civilian)</v>
          </cell>
        </row>
        <row r="144">
          <cell r="B144">
            <v>5010299012</v>
          </cell>
          <cell r="C144" t="str">
            <v>Productivity Enhancement Incentive (Civilian)</v>
          </cell>
        </row>
        <row r="145">
          <cell r="B145">
            <v>5010299014</v>
          </cell>
          <cell r="C145" t="str">
            <v>Performance Based Bonus (Civilian)</v>
          </cell>
        </row>
        <row r="146">
          <cell r="B146">
            <v>5010299036</v>
          </cell>
          <cell r="C146" t="str">
            <v>MID YEAR BONUS</v>
          </cell>
        </row>
        <row r="147">
          <cell r="B147">
            <v>5010213001</v>
          </cell>
          <cell r="C147" t="str">
            <v>Overtime and Night Pay</v>
          </cell>
        </row>
        <row r="148">
          <cell r="B148">
            <v>5010215001</v>
          </cell>
          <cell r="C148" t="str">
            <v>Cash Gift</v>
          </cell>
        </row>
        <row r="149">
          <cell r="B149">
            <v>5010214001</v>
          </cell>
          <cell r="C149" t="str">
            <v>Year-End Bonus</v>
          </cell>
        </row>
        <row r="150">
          <cell r="B150">
            <v>5010301000</v>
          </cell>
          <cell r="C150" t="str">
            <v>Retirement and Life Insurance Premiums</v>
          </cell>
        </row>
        <row r="151">
          <cell r="B151">
            <v>5010302001</v>
          </cell>
          <cell r="C151" t="str">
            <v>PAG-IBIG Contributions (Civilian)</v>
          </cell>
        </row>
        <row r="152">
          <cell r="B152">
            <v>5010303001</v>
          </cell>
          <cell r="C152" t="str">
            <v>PhilHealth Contributions (Civilian)</v>
          </cell>
        </row>
        <row r="153">
          <cell r="B153">
            <v>5010304001</v>
          </cell>
          <cell r="C153" t="str">
            <v>Employees Compensation Insurance Premium (Civilian)</v>
          </cell>
        </row>
        <row r="154">
          <cell r="B154">
            <v>5010401001</v>
          </cell>
          <cell r="C154" t="str">
            <v>Pension Benefits (Civilian)</v>
          </cell>
        </row>
        <row r="155">
          <cell r="B155">
            <v>2010107000</v>
          </cell>
          <cell r="C155" t="str">
            <v>Finance Lease Payable</v>
          </cell>
        </row>
        <row r="156">
          <cell r="B156">
            <v>1060803000</v>
          </cell>
          <cell r="C156" t="str">
            <v>Lease Assets, Machinery &amp; Equipment</v>
          </cell>
        </row>
        <row r="157">
          <cell r="B157">
            <v>1060803100</v>
          </cell>
          <cell r="C157" t="str">
            <v>Accumulated Depreciation Lease Assets, Machinery &amp; Equipment</v>
          </cell>
        </row>
        <row r="158">
          <cell r="B158">
            <v>5050108002</v>
          </cell>
          <cell r="C158" t="str">
            <v>Depreciation Lease Assets, Machinery &amp; Equipment</v>
          </cell>
        </row>
        <row r="159">
          <cell r="B159">
            <v>5010402001</v>
          </cell>
          <cell r="C159" t="str">
            <v>Retirement Gratuity (Civilian)</v>
          </cell>
        </row>
        <row r="160">
          <cell r="B160">
            <v>5010403001</v>
          </cell>
          <cell r="C160" t="str">
            <v>Terminal Leave Benefits (Civilian)</v>
          </cell>
        </row>
        <row r="161">
          <cell r="B161">
            <v>5010499010</v>
          </cell>
          <cell r="C161" t="str">
            <v xml:space="preserve">Lump -sum for Step Increments-Length of Service </v>
          </cell>
        </row>
        <row r="162">
          <cell r="B162">
            <v>5010499011</v>
          </cell>
          <cell r="C162" t="str">
            <v xml:space="preserve">Lump-sum for Step Increments-Meritorious Performance </v>
          </cell>
        </row>
        <row r="163">
          <cell r="B163">
            <v>5010499015</v>
          </cell>
          <cell r="C163" t="str">
            <v>Loyalty Award (Civilian)</v>
          </cell>
        </row>
        <row r="164">
          <cell r="B164">
            <v>5020101000</v>
          </cell>
          <cell r="C164" t="str">
            <v>Traveling Expense-Local</v>
          </cell>
        </row>
        <row r="165">
          <cell r="B165">
            <v>5020201002</v>
          </cell>
          <cell r="C165" t="str">
            <v>Training Expenses</v>
          </cell>
        </row>
        <row r="166">
          <cell r="B166">
            <v>5020202000</v>
          </cell>
          <cell r="C166" t="str">
            <v>Scholarship Expenses</v>
          </cell>
        </row>
        <row r="167">
          <cell r="B167">
            <v>5020301002</v>
          </cell>
          <cell r="C167" t="str">
            <v>Office Supplies Expenses</v>
          </cell>
        </row>
        <row r="168">
          <cell r="B168">
            <v>5020302000</v>
          </cell>
          <cell r="C168" t="str">
            <v>Accountable Forms Expenses</v>
          </cell>
        </row>
        <row r="169">
          <cell r="B169">
            <v>5020305000</v>
          </cell>
          <cell r="C169" t="str">
            <v>Food Supplies Expenses</v>
          </cell>
        </row>
        <row r="170">
          <cell r="B170">
            <v>5020306000</v>
          </cell>
          <cell r="C170" t="str">
            <v>Welfare Goods Expenses</v>
          </cell>
        </row>
        <row r="171">
          <cell r="B171">
            <v>5020307000</v>
          </cell>
          <cell r="C171" t="str">
            <v>Drugs and Medicines Expenses</v>
          </cell>
        </row>
        <row r="172">
          <cell r="B172">
            <v>5020308000</v>
          </cell>
          <cell r="C172" t="str">
            <v>Medical,Dental &amp; Laboratory Supplies Expenses</v>
          </cell>
        </row>
        <row r="173">
          <cell r="B173">
            <v>5020309000</v>
          </cell>
          <cell r="C173" t="str">
            <v>Fuel, Oil and Lubricants Expenses</v>
          </cell>
        </row>
        <row r="174">
          <cell r="B174">
            <v>5020321001</v>
          </cell>
          <cell r="C174" t="str">
            <v>Semi-expendable Machinery and Equipment Expenses - Machinery</v>
          </cell>
        </row>
        <row r="175">
          <cell r="B175">
            <v>5020321002</v>
          </cell>
          <cell r="C175" t="str">
            <v>Semi-expendable Machinery and Equipment Expenses - Office Equipment</v>
          </cell>
        </row>
        <row r="176">
          <cell r="B176">
            <v>5020321003</v>
          </cell>
          <cell r="C176" t="str">
            <v>Semi-Expendable - M &amp; E Expenses-ICT Equipment</v>
          </cell>
        </row>
        <row r="177">
          <cell r="B177">
            <v>5020321007</v>
          </cell>
          <cell r="C177" t="str">
            <v>Semi-expendable Machinery and Equipment Expenses - Communications Equipment</v>
          </cell>
        </row>
        <row r="178">
          <cell r="B178">
            <v>5020321010</v>
          </cell>
          <cell r="C178" t="str">
            <v>Semi-expendable Machinery and Equipment Expenses - Medical Equipment</v>
          </cell>
        </row>
        <row r="179">
          <cell r="B179">
            <v>5020321099</v>
          </cell>
          <cell r="C179" t="str">
            <v>Semi-Expendable - Other Machinery and Equipment Expenses</v>
          </cell>
        </row>
        <row r="180">
          <cell r="B180">
            <v>5020322001</v>
          </cell>
          <cell r="C180" t="str">
            <v>Semi-expendable Furniture and Fixtures Expenses</v>
          </cell>
        </row>
        <row r="181">
          <cell r="B181">
            <v>5020321013</v>
          </cell>
          <cell r="C181" t="str">
            <v>Semi-expendable Technical and Scientific Expenses</v>
          </cell>
        </row>
        <row r="182">
          <cell r="B182">
            <v>5020399000</v>
          </cell>
          <cell r="C182" t="str">
            <v>Other Supplies and Materials Expenses</v>
          </cell>
        </row>
        <row r="183">
          <cell r="B183">
            <v>5020401000</v>
          </cell>
          <cell r="C183" t="str">
            <v>Water Expenses</v>
          </cell>
        </row>
        <row r="184">
          <cell r="B184">
            <v>5020402000</v>
          </cell>
          <cell r="C184" t="str">
            <v>Electricity Expenses</v>
          </cell>
        </row>
        <row r="185">
          <cell r="B185">
            <v>5020501000</v>
          </cell>
          <cell r="C185" t="str">
            <v>Postage and Courier Services</v>
          </cell>
        </row>
        <row r="186">
          <cell r="B186">
            <v>5020502002</v>
          </cell>
          <cell r="C186" t="str">
            <v>Telephone Expenses-Landline</v>
          </cell>
        </row>
        <row r="187">
          <cell r="B187">
            <v>5020502001</v>
          </cell>
          <cell r="C187" t="str">
            <v>Telephone Expenses-Mobile</v>
          </cell>
        </row>
        <row r="188">
          <cell r="B188">
            <v>5020503000</v>
          </cell>
          <cell r="C188" t="str">
            <v>Internet Subscription Expenses</v>
          </cell>
        </row>
        <row r="189">
          <cell r="B189">
            <v>5020504000</v>
          </cell>
          <cell r="C189" t="str">
            <v>Cable, Satellite, Telegraph and Radio Expenses</v>
          </cell>
        </row>
        <row r="190">
          <cell r="B190">
            <v>5029906000</v>
          </cell>
          <cell r="C190" t="str">
            <v>Membership Dues &amp; Contributions to Organization</v>
          </cell>
        </row>
        <row r="191">
          <cell r="B191">
            <v>5029907001</v>
          </cell>
          <cell r="C191" t="str">
            <v>Subscription Expenses-ICT Software Subscription</v>
          </cell>
        </row>
        <row r="192">
          <cell r="B192">
            <v>5020601000</v>
          </cell>
          <cell r="C192" t="str">
            <v>Awards/Rewards Expenses</v>
          </cell>
        </row>
        <row r="193">
          <cell r="B193">
            <v>5020602000</v>
          </cell>
          <cell r="C193" t="str">
            <v>Prizes</v>
          </cell>
        </row>
        <row r="194">
          <cell r="B194">
            <v>5029901000</v>
          </cell>
          <cell r="C194" t="str">
            <v>Advertising Expenses</v>
          </cell>
        </row>
        <row r="195">
          <cell r="B195">
            <v>5029902000</v>
          </cell>
          <cell r="C195" t="str">
            <v>Printing and Publication Expenses</v>
          </cell>
        </row>
        <row r="196">
          <cell r="B196">
            <v>5029903000</v>
          </cell>
          <cell r="C196" t="str">
            <v>Representation Expenses</v>
          </cell>
        </row>
        <row r="197">
          <cell r="B197">
            <v>5029904000</v>
          </cell>
          <cell r="C197" t="str">
            <v>Transportation and Delivery Expenses</v>
          </cell>
        </row>
        <row r="198">
          <cell r="B198">
            <v>5029905001</v>
          </cell>
          <cell r="C198" t="str">
            <v>Rent/Lease Expenses - Buildings and Structures</v>
          </cell>
        </row>
        <row r="199">
          <cell r="B199">
            <v>5029905003</v>
          </cell>
          <cell r="C199" t="str">
            <v>Rent/Lease Expenses - Motor Vehicles</v>
          </cell>
        </row>
        <row r="200">
          <cell r="B200">
            <v>5029905004</v>
          </cell>
          <cell r="C200" t="str">
            <v>Rent/Lease Expenses - Equipment</v>
          </cell>
        </row>
        <row r="201">
          <cell r="B201">
            <v>5029905005</v>
          </cell>
          <cell r="C201" t="str">
            <v>Rent/Lease Expenses - Living Quarters</v>
          </cell>
        </row>
        <row r="202">
          <cell r="B202">
            <v>5029905006</v>
          </cell>
          <cell r="C202" t="str">
            <v>Operating Lease</v>
          </cell>
        </row>
        <row r="203">
          <cell r="B203">
            <v>5029905008</v>
          </cell>
          <cell r="C203" t="str">
            <v>Rents–ICT Machinery and Equipment</v>
          </cell>
        </row>
        <row r="204">
          <cell r="B204">
            <v>5029907000</v>
          </cell>
          <cell r="C204" t="str">
            <v>Subscription Expenses</v>
          </cell>
        </row>
        <row r="205">
          <cell r="B205">
            <v>5021101000</v>
          </cell>
          <cell r="C205" t="str">
            <v>Legal Services</v>
          </cell>
        </row>
        <row r="206">
          <cell r="B206">
            <v>5021102000</v>
          </cell>
          <cell r="C206" t="str">
            <v>Auditing Services</v>
          </cell>
        </row>
        <row r="207">
          <cell r="B207">
            <v>5021103002</v>
          </cell>
          <cell r="C207" t="str">
            <v>Consultancy Services</v>
          </cell>
        </row>
        <row r="208">
          <cell r="B208">
            <v>5021202000</v>
          </cell>
          <cell r="C208" t="str">
            <v>Janitorial Services</v>
          </cell>
        </row>
        <row r="209">
          <cell r="B209">
            <v>5021203000</v>
          </cell>
          <cell r="C209" t="str">
            <v>Security Services</v>
          </cell>
        </row>
        <row r="210">
          <cell r="B210">
            <v>5021199000</v>
          </cell>
          <cell r="C210" t="str">
            <v>Other Professional Services</v>
          </cell>
        </row>
        <row r="211">
          <cell r="B211">
            <v>5021407000</v>
          </cell>
          <cell r="C211" t="str">
            <v>Subsidy to Regional Offices/Staff Bureaus</v>
          </cell>
        </row>
        <row r="212">
          <cell r="B212">
            <v>5021299000</v>
          </cell>
          <cell r="C212" t="str">
            <v>Other General Services</v>
          </cell>
        </row>
        <row r="213">
          <cell r="B213">
            <v>5021304001</v>
          </cell>
          <cell r="C213" t="str">
            <v>Repairs and Maintenance - Building and Other Structures - Buildings</v>
          </cell>
        </row>
        <row r="214">
          <cell r="B214">
            <v>5021304006</v>
          </cell>
          <cell r="C214" t="str">
            <v>Repairs and Maintenance - Building and Other Structures - Hostels and Dormitories</v>
          </cell>
        </row>
        <row r="215">
          <cell r="B215">
            <v>5021304099</v>
          </cell>
          <cell r="C215" t="str">
            <v>Repairs and Maintenance - Building and Other Structures - Other Structures</v>
          </cell>
        </row>
        <row r="216">
          <cell r="B216">
            <v>5021309000</v>
          </cell>
          <cell r="C216" t="str">
            <v>Repairs and Maintenance - Leased Assets Improvements</v>
          </cell>
        </row>
        <row r="217">
          <cell r="B217">
            <v>5021307000</v>
          </cell>
          <cell r="C217" t="str">
            <v>Repairs and Maintenance - Furniture and Fixtures</v>
          </cell>
        </row>
        <row r="218">
          <cell r="B218">
            <v>5021305002</v>
          </cell>
          <cell r="C218" t="str">
            <v>Repairs and Maintenance - Machinery and Equipment - Office Equipment</v>
          </cell>
        </row>
        <row r="219">
          <cell r="B219">
            <v>5021305003</v>
          </cell>
          <cell r="C219" t="str">
            <v>Repairs and Maintenance - Machinery and Equipment - IT Equipment</v>
          </cell>
        </row>
        <row r="220">
          <cell r="B220">
            <v>5021305007</v>
          </cell>
          <cell r="C220" t="str">
            <v>Repairs and Maintenance - Machinery and Equipment - Communication Equipment</v>
          </cell>
        </row>
        <row r="221">
          <cell r="B221">
            <v>5021305099</v>
          </cell>
          <cell r="C221" t="str">
            <v>Repairs and Maintenance - Machinery and Equipment - Other Machinery and Equipment</v>
          </cell>
        </row>
        <row r="222">
          <cell r="B222">
            <v>5021306001</v>
          </cell>
          <cell r="C222" t="str">
            <v>Repairs and Maintenance - Transportation Equipment - Motor Vehicles</v>
          </cell>
        </row>
        <row r="223">
          <cell r="B223">
            <v>5021399099</v>
          </cell>
          <cell r="C223" t="str">
            <v>Repairs and Maintenance - Other PP &amp; E</v>
          </cell>
        </row>
        <row r="224">
          <cell r="B224">
            <v>5029908000</v>
          </cell>
          <cell r="C224" t="str">
            <v>Donations</v>
          </cell>
        </row>
        <row r="225">
          <cell r="B225">
            <v>5021402000</v>
          </cell>
          <cell r="C225" t="str">
            <v>Financial Assistance to NGAs</v>
          </cell>
        </row>
        <row r="226">
          <cell r="B226">
            <v>5021403000</v>
          </cell>
          <cell r="C226" t="str">
            <v>Financial Assistance to LGUs</v>
          </cell>
        </row>
        <row r="227">
          <cell r="B227">
            <v>5021405000</v>
          </cell>
          <cell r="C227" t="str">
            <v>Financial Assistance to NGOs/POs</v>
          </cell>
        </row>
        <row r="228">
          <cell r="B228">
            <v>5021499000</v>
          </cell>
          <cell r="C228" t="str">
            <v>Subsidies - Others</v>
          </cell>
        </row>
        <row r="229">
          <cell r="B229">
            <v>5030104000</v>
          </cell>
          <cell r="C229" t="str">
            <v>Bank Charges</v>
          </cell>
        </row>
        <row r="230">
          <cell r="B230">
            <v>5021003000</v>
          </cell>
          <cell r="C230" t="str">
            <v>Extraordinary &amp; Miscellaneous Expenses</v>
          </cell>
        </row>
        <row r="231">
          <cell r="B231">
            <v>5021502000</v>
          </cell>
          <cell r="C231" t="str">
            <v>Fidelity Bond Premiums</v>
          </cell>
        </row>
        <row r="232">
          <cell r="B232">
            <v>5021503000</v>
          </cell>
          <cell r="C232" t="str">
            <v>Insurance Expenses</v>
          </cell>
        </row>
        <row r="233">
          <cell r="B233">
            <v>4030107000</v>
          </cell>
          <cell r="C233" t="str">
            <v>Subsidy from Regional Office/Staff Bureau</v>
          </cell>
        </row>
        <row r="234">
          <cell r="B234">
            <v>5021601000</v>
          </cell>
          <cell r="C234" t="str">
            <v>Labor and Wages</v>
          </cell>
        </row>
        <row r="235">
          <cell r="B235">
            <v>5050201000</v>
          </cell>
          <cell r="C235" t="str">
            <v>Amortization Expense-Computer Software</v>
          </cell>
        </row>
        <row r="236">
          <cell r="B236">
            <v>5050425000</v>
          </cell>
          <cell r="C236" t="str">
            <v>Loss on Sale of Unserviceable Property</v>
          </cell>
        </row>
        <row r="237">
          <cell r="B237">
            <v>5050102003</v>
          </cell>
          <cell r="C237" t="str">
            <v>Depreciation- Other Land Improvements</v>
          </cell>
        </row>
        <row r="238">
          <cell r="B238">
            <v>5050104001</v>
          </cell>
          <cell r="C238" t="str">
            <v>Depreciation - Building</v>
          </cell>
        </row>
        <row r="239">
          <cell r="B239">
            <v>5050104099</v>
          </cell>
          <cell r="C239" t="str">
            <v>Depreciation - Other Structures</v>
          </cell>
        </row>
        <row r="240">
          <cell r="B240">
            <v>5050107001</v>
          </cell>
          <cell r="C240" t="str">
            <v>Depreciation - Furniture &amp; Fixtures</v>
          </cell>
        </row>
        <row r="241">
          <cell r="B241">
            <v>5050107002</v>
          </cell>
          <cell r="C241" t="str">
            <v>Depreciation - Books</v>
          </cell>
        </row>
        <row r="242">
          <cell r="B242">
            <v>5050105002</v>
          </cell>
          <cell r="C242" t="str">
            <v>Depreciation - Office Equipment</v>
          </cell>
        </row>
        <row r="243">
          <cell r="B243">
            <v>5050105003</v>
          </cell>
          <cell r="C243" t="str">
            <v>Depreciation - IT Equipment</v>
          </cell>
        </row>
        <row r="244">
          <cell r="B244">
            <v>5050105007</v>
          </cell>
          <cell r="C244" t="str">
            <v>Depreciation - Communication Equipment</v>
          </cell>
        </row>
        <row r="245">
          <cell r="B245">
            <v>5050105009</v>
          </cell>
          <cell r="C245" t="str">
            <v>Depreciation - Disaster Response and Rescue Equipment</v>
          </cell>
        </row>
        <row r="246">
          <cell r="B246">
            <v>5050105011</v>
          </cell>
          <cell r="C246" t="str">
            <v>Depreciation - Medical Equipment</v>
          </cell>
        </row>
        <row r="247">
          <cell r="B247">
            <v>5050105013</v>
          </cell>
          <cell r="C247" t="str">
            <v>Depreciation - Sports Equipment</v>
          </cell>
        </row>
        <row r="248">
          <cell r="B248">
            <v>5050105014</v>
          </cell>
          <cell r="C248" t="str">
            <v>Depreciation - Technical and Scientific Equipment</v>
          </cell>
        </row>
        <row r="249">
          <cell r="B249">
            <v>5050105099</v>
          </cell>
          <cell r="C249" t="str">
            <v>Depreciation - Other Machinery &amp; Equipment</v>
          </cell>
        </row>
        <row r="250">
          <cell r="B250">
            <v>5050106001</v>
          </cell>
          <cell r="C250" t="str">
            <v>Depreciation - Motor Vehicles</v>
          </cell>
        </row>
        <row r="251">
          <cell r="B251">
            <v>5050199099</v>
          </cell>
          <cell r="C251" t="str">
            <v>Depreciation - Other Property, Plant &amp; Equipment</v>
          </cell>
        </row>
        <row r="252">
          <cell r="B252">
            <v>5029999099</v>
          </cell>
          <cell r="C252" t="str">
            <v>Other Maintenance and Operating Expenses</v>
          </cell>
        </row>
        <row r="253">
          <cell r="B253">
            <v>5050409000</v>
          </cell>
          <cell r="C253" t="str">
            <v>Loss of Assets</v>
          </cell>
        </row>
        <row r="254">
          <cell r="B254">
            <v>5050499000</v>
          </cell>
          <cell r="C254" t="str">
            <v>Other Losses</v>
          </cell>
        </row>
        <row r="255">
          <cell r="B255">
            <v>5010499099</v>
          </cell>
          <cell r="C255" t="str">
            <v>Other Personnel Benefits</v>
          </cell>
        </row>
        <row r="256">
          <cell r="B256">
            <v>5021305001</v>
          </cell>
          <cell r="C256" t="str">
            <v xml:space="preserve">Repairs and Maintenance-Machinery and Equipment - ICT Equipment </v>
          </cell>
        </row>
        <row r="257">
          <cell r="B257">
            <v>5020301001</v>
          </cell>
          <cell r="C257" t="str">
            <v>ICT OFFICE SUPPLIES EXPENSE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-BOAS 2022"/>
      <sheetName val="Conso-Breakdown of ASD 2021"/>
      <sheetName val="Conso-SCBAA 2022"/>
      <sheetName val="Conso-CF 2021"/>
      <sheetName val="Conso-SCNAE 2022"/>
      <sheetName val="Conso-Condensed SoCF 2022"/>
      <sheetName val="Conso-Detailed SoCF 2022"/>
      <sheetName val="Conso-NetAssets 2021"/>
      <sheetName val="Conso-CSFPosition 2022"/>
      <sheetName val="Conso-DetailedPosition 2022"/>
      <sheetName val="Conso-CSFPerfor 2022"/>
      <sheetName val="Conso-DetailedPerf 2022"/>
      <sheetName val="Conso-Post TB 2022"/>
      <sheetName val="Conso-Pre TB 2022"/>
      <sheetName val="FO X June 2016"/>
    </sheetNames>
    <sheetDataSet>
      <sheetData sheetId="0"/>
      <sheetData sheetId="1"/>
      <sheetData sheetId="2"/>
      <sheetData sheetId="3"/>
      <sheetData sheetId="4">
        <row r="12">
          <cell r="H12">
            <v>197996036.94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>
        <row r="15">
          <cell r="J1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4SCF"/>
      <sheetName val="FC1SGE"/>
      <sheetName val="FC1SFP"/>
      <sheetName val="FC1CSFP"/>
      <sheetName val="FC1DIS"/>
      <sheetName val="FC1CIS"/>
      <sheetName val="tb control"/>
      <sheetName val="FC1-Post TB"/>
      <sheetName val="FC1-Pre TB"/>
      <sheetName val="FC1 post tb-June"/>
      <sheetName val="FO X June 2016"/>
    </sheetNames>
    <sheetDataSet>
      <sheetData sheetId="0"/>
      <sheetData sheetId="1">
        <row r="19">
          <cell r="J19">
            <v>1060847.8499999975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>
        <row r="15">
          <cell r="J1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>
        <row r="14">
          <cell r="J14">
            <v>35453.97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>
        <row r="15">
          <cell r="J15">
            <v>8566853.2799999993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</sheetNames>
    <sheetDataSet>
      <sheetData sheetId="0"/>
      <sheetData sheetId="1">
        <row r="104">
          <cell r="Y104">
            <v>6704797.0099999998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-BOAS 2022"/>
      <sheetName val="Conso-Breakdown of ASD 2021"/>
      <sheetName val="Conso-SCBAA 2022"/>
      <sheetName val="Conso-CF 2021"/>
      <sheetName val="Conso-SCNAE 2022"/>
      <sheetName val="Conso-Condensed SoCF 2022"/>
      <sheetName val="Conso-Detailed SoCF 2022"/>
      <sheetName val="Conso-NetAssets 2021"/>
      <sheetName val="Conso-CSFPosition 2022"/>
      <sheetName val="Conso-DetailedPosition 2022"/>
      <sheetName val="Conso-CSFPerfor 2022"/>
      <sheetName val="Conso-DetailedPerf 2022"/>
      <sheetName val="Conso-Post TB 2022"/>
      <sheetName val="Conso-Pre TB 2022"/>
      <sheetName val="FO X June 2016"/>
    </sheetNames>
    <sheetDataSet>
      <sheetData sheetId="0">
        <row r="50">
          <cell r="D50">
            <v>-136225920.85000002</v>
          </cell>
        </row>
      </sheetData>
      <sheetData sheetId="1" refreshError="1"/>
      <sheetData sheetId="2" refreshError="1"/>
      <sheetData sheetId="3" refreshError="1"/>
      <sheetData sheetId="4">
        <row r="12">
          <cell r="H12">
            <v>197996036.94</v>
          </cell>
        </row>
      </sheetData>
      <sheetData sheetId="5" refreshError="1"/>
      <sheetData sheetId="6" refreshError="1"/>
      <sheetData sheetId="7" refreshError="1"/>
      <sheetData sheetId="8" refreshError="1"/>
      <sheetData sheetId="9">
        <row r="20">
          <cell r="I20">
            <v>44814830.469999939</v>
          </cell>
        </row>
      </sheetData>
      <sheetData sheetId="10" refreshError="1"/>
      <sheetData sheetId="11">
        <row r="28">
          <cell r="I28">
            <v>14020.939999999999</v>
          </cell>
        </row>
      </sheetData>
      <sheetData sheetId="12" refreshError="1"/>
      <sheetData sheetId="13">
        <row r="10">
          <cell r="B10">
            <v>1010101000</v>
          </cell>
        </row>
      </sheetData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BOAS"/>
      <sheetName val="FC1"/>
      <sheetName val="FC1-Pre TB"/>
      <sheetName val="FC1-Pre TB (2)"/>
      <sheetName val="FC1-Post TB "/>
      <sheetName val="FC1 post tb-June"/>
      <sheetName val="FO X June 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-732161353.1099999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 AS "/>
      <sheetName val="Oct"/>
      <sheetName val="FC 1"/>
      <sheetName val="Sheet5"/>
      <sheetName val="FC 1 Working Paper"/>
      <sheetName val="FC 1 4Ps"/>
      <sheetName val="FC 2"/>
      <sheetName val="FC 1 4Ps."/>
      <sheetName val="FC 1 4Ps  "/>
      <sheetName val="FC 1 4ps Working Paper"/>
      <sheetName val="Sheet9"/>
      <sheetName val="Nov"/>
      <sheetName val="FC1"/>
      <sheetName val="FC 4"/>
      <sheetName val="FC 6"/>
      <sheetName val="FC 7 CO"/>
      <sheetName val="FC 7"/>
      <sheetName val=" FC 7 "/>
      <sheetName val="Sheet4"/>
      <sheetName val="Sheet1 (2)"/>
      <sheetName val="Sheet1"/>
      <sheetName val="Sheet2"/>
      <sheetName val="Sheet3"/>
    </sheetNames>
    <sheetDataSet>
      <sheetData sheetId="0"/>
      <sheetData sheetId="1">
        <row r="3">
          <cell r="A3" t="str">
            <v>As of DECEMBER 31, 2022</v>
          </cell>
        </row>
      </sheetData>
      <sheetData sheetId="2">
        <row r="92">
          <cell r="A92" t="str">
            <v>Balance as of SEPTEMBER 30, 2022</v>
          </cell>
        </row>
      </sheetData>
      <sheetData sheetId="3"/>
      <sheetData sheetId="4"/>
      <sheetData sheetId="5"/>
      <sheetData sheetId="6">
        <row r="59">
          <cell r="D59">
            <v>156801566.4036999</v>
          </cell>
        </row>
      </sheetData>
      <sheetData sheetId="7"/>
      <sheetData sheetId="8"/>
      <sheetData sheetId="9"/>
      <sheetData sheetId="10">
        <row r="3">
          <cell r="C3">
            <v>1428600</v>
          </cell>
        </row>
      </sheetData>
      <sheetData sheetId="11"/>
      <sheetData sheetId="12">
        <row r="3">
          <cell r="A3" t="str">
            <v>As of DECEMBER 31, 2022</v>
          </cell>
        </row>
      </sheetData>
      <sheetData sheetId="13">
        <row r="35">
          <cell r="D35">
            <v>788641.91</v>
          </cell>
        </row>
      </sheetData>
      <sheetData sheetId="14">
        <row r="13">
          <cell r="D13">
            <v>7.24</v>
          </cell>
        </row>
      </sheetData>
      <sheetData sheetId="15">
        <row r="38">
          <cell r="E38">
            <v>-14327963.050000001</v>
          </cell>
        </row>
      </sheetData>
      <sheetData sheetId="16"/>
      <sheetData sheetId="17">
        <row r="17">
          <cell r="E17">
            <v>7240647.0999999987</v>
          </cell>
        </row>
      </sheetData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 (2)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>
        <row r="119">
          <cell r="BX119">
            <v>9697.7999999999993</v>
          </cell>
        </row>
        <row r="120">
          <cell r="BX120">
            <v>5129.17</v>
          </cell>
        </row>
        <row r="121">
          <cell r="BX121">
            <v>2133.58</v>
          </cell>
        </row>
        <row r="122">
          <cell r="BX122">
            <v>9395.4</v>
          </cell>
        </row>
        <row r="123">
          <cell r="BX123">
            <v>8417.5</v>
          </cell>
        </row>
        <row r="131">
          <cell r="BX131">
            <v>5000</v>
          </cell>
        </row>
        <row r="136">
          <cell r="BX136">
            <v>9038.69</v>
          </cell>
        </row>
        <row r="149">
          <cell r="BX149">
            <v>19512.689999999999</v>
          </cell>
        </row>
        <row r="152">
          <cell r="BX152">
            <v>5564.08</v>
          </cell>
        </row>
        <row r="153">
          <cell r="BX153">
            <v>4162.37</v>
          </cell>
        </row>
        <row r="198">
          <cell r="BX198">
            <v>3462.33</v>
          </cell>
        </row>
        <row r="201">
          <cell r="BX201">
            <v>2087.58</v>
          </cell>
        </row>
        <row r="202">
          <cell r="BX202">
            <v>952.43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 (2)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>
        <row r="14">
          <cell r="BX14">
            <v>11143.22</v>
          </cell>
        </row>
        <row r="15">
          <cell r="BX15">
            <v>1605.98</v>
          </cell>
        </row>
        <row r="16">
          <cell r="BX16">
            <v>1738.81</v>
          </cell>
        </row>
        <row r="17">
          <cell r="BX17">
            <v>8512.7000000000007</v>
          </cell>
        </row>
        <row r="21">
          <cell r="BX21">
            <v>84445.51</v>
          </cell>
        </row>
        <row r="27">
          <cell r="BX27">
            <v>1500.69</v>
          </cell>
        </row>
        <row r="28">
          <cell r="BX28">
            <v>4862.84</v>
          </cell>
        </row>
        <row r="31">
          <cell r="BX31">
            <v>4311.6400000000003</v>
          </cell>
        </row>
        <row r="33">
          <cell r="BX33">
            <v>1923.81</v>
          </cell>
        </row>
        <row r="35">
          <cell r="BX35">
            <v>1895.38</v>
          </cell>
        </row>
        <row r="37">
          <cell r="BX37">
            <v>2548.2399999999998</v>
          </cell>
        </row>
        <row r="39">
          <cell r="BX39">
            <v>2379.7600000000002</v>
          </cell>
        </row>
        <row r="41">
          <cell r="BX41">
            <v>1442.58</v>
          </cell>
        </row>
        <row r="48">
          <cell r="BX48">
            <v>5300</v>
          </cell>
        </row>
        <row r="54">
          <cell r="BX54">
            <v>400</v>
          </cell>
        </row>
        <row r="57">
          <cell r="BX57">
            <v>36319</v>
          </cell>
        </row>
        <row r="65">
          <cell r="BX65">
            <v>6000</v>
          </cell>
        </row>
        <row r="108">
          <cell r="BX108">
            <v>148946.96</v>
          </cell>
        </row>
        <row r="139">
          <cell r="BX139">
            <v>4311.6400000000003</v>
          </cell>
        </row>
        <row r="147">
          <cell r="BX147">
            <v>4000</v>
          </cell>
        </row>
        <row r="154">
          <cell r="BX154">
            <v>100</v>
          </cell>
        </row>
        <row r="156">
          <cell r="BX156">
            <v>100</v>
          </cell>
        </row>
        <row r="271">
          <cell r="BX271">
            <v>3000</v>
          </cell>
        </row>
        <row r="272">
          <cell r="BX272">
            <v>640</v>
          </cell>
        </row>
        <row r="338">
          <cell r="BX338">
            <v>14251.14</v>
          </cell>
        </row>
        <row r="339">
          <cell r="BX339">
            <v>11124.21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>
        <row r="1017">
          <cell r="O1017">
            <v>236.93</v>
          </cell>
        </row>
        <row r="1018">
          <cell r="O1018">
            <v>389234</v>
          </cell>
        </row>
        <row r="1019">
          <cell r="O1019">
            <v>573475</v>
          </cell>
        </row>
        <row r="1020">
          <cell r="O1020">
            <v>30694</v>
          </cell>
        </row>
        <row r="1021">
          <cell r="O1021">
            <v>120989</v>
          </cell>
        </row>
        <row r="1022">
          <cell r="O1022">
            <v>28244</v>
          </cell>
        </row>
        <row r="1023">
          <cell r="O1023">
            <v>24000</v>
          </cell>
        </row>
        <row r="1024">
          <cell r="O1024">
            <v>43000</v>
          </cell>
        </row>
        <row r="1025">
          <cell r="O1025">
            <v>157500</v>
          </cell>
        </row>
        <row r="1026">
          <cell r="O1026">
            <v>173000</v>
          </cell>
        </row>
        <row r="1027">
          <cell r="O1027">
            <v>24000</v>
          </cell>
        </row>
        <row r="1031">
          <cell r="O1031">
            <v>98239</v>
          </cell>
        </row>
      </sheetData>
      <sheetData sheetId="1">
        <row r="7">
          <cell r="C7">
            <v>1010101000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workbookViewId="0">
      <pane ySplit="1" topLeftCell="A74" activePane="bottomLeft" state="frozen"/>
      <selection pane="bottomLeft" activeCell="B114" sqref="B114"/>
    </sheetView>
  </sheetViews>
  <sheetFormatPr defaultRowHeight="15" x14ac:dyDescent="0.25"/>
  <cols>
    <col min="1" max="1" width="37.42578125" style="6" customWidth="1"/>
    <col min="2" max="2" width="39.5703125" style="4" customWidth="1"/>
    <col min="4" max="4" width="26.42578125" style="4" customWidth="1"/>
    <col min="5" max="5" width="21.5703125" style="4" customWidth="1"/>
  </cols>
  <sheetData>
    <row r="1" spans="1:5" ht="30" x14ac:dyDescent="0.25">
      <c r="A1" s="5" t="s">
        <v>87</v>
      </c>
    </row>
    <row r="2" spans="1:5" x14ac:dyDescent="0.25">
      <c r="A2" s="6" t="s">
        <v>88</v>
      </c>
      <c r="B2" s="7">
        <v>-69809982.480000004</v>
      </c>
      <c r="D2" s="4" t="e">
        <f>#REF!</f>
        <v>#REF!</v>
      </c>
      <c r="E2" s="4" t="e">
        <f>B2-D2</f>
        <v>#REF!</v>
      </c>
    </row>
    <row r="3" spans="1:5" x14ac:dyDescent="0.25">
      <c r="A3" s="6" t="s">
        <v>90</v>
      </c>
      <c r="B3" s="7">
        <v>-516848377</v>
      </c>
      <c r="D3" s="4" t="e">
        <f>#REF!</f>
        <v>#REF!</v>
      </c>
      <c r="E3" s="4" t="e">
        <f t="shared" ref="E3:E12" si="0">B3-D3</f>
        <v>#REF!</v>
      </c>
    </row>
    <row r="4" spans="1:5" x14ac:dyDescent="0.25">
      <c r="A4" s="6" t="s">
        <v>92</v>
      </c>
      <c r="B4" s="7">
        <v>-3005555</v>
      </c>
      <c r="D4" s="4" t="e">
        <f>#REF!</f>
        <v>#REF!</v>
      </c>
      <c r="E4" s="4" t="e">
        <f t="shared" si="0"/>
        <v>#REF!</v>
      </c>
    </row>
    <row r="5" spans="1:5" x14ac:dyDescent="0.25">
      <c r="A5" s="6" t="s">
        <v>94</v>
      </c>
      <c r="B5" s="7">
        <v>-284395.49</v>
      </c>
      <c r="D5" s="4" t="e">
        <f>#REF!</f>
        <v>#REF!</v>
      </c>
      <c r="E5" s="4" t="e">
        <f t="shared" si="0"/>
        <v>#REF!</v>
      </c>
    </row>
    <row r="6" spans="1:5" ht="30" x14ac:dyDescent="0.25">
      <c r="A6" s="6" t="s">
        <v>154</v>
      </c>
      <c r="B6" s="7">
        <v>110528721.98</v>
      </c>
      <c r="D6" s="4" t="e">
        <f>#REF!</f>
        <v>#REF!</v>
      </c>
      <c r="E6" s="4" t="e">
        <f t="shared" si="0"/>
        <v>#REF!</v>
      </c>
    </row>
    <row r="7" spans="1:5" ht="30" x14ac:dyDescent="0.25">
      <c r="A7" s="6" t="s">
        <v>96</v>
      </c>
      <c r="B7" s="7">
        <v>-134854095.22</v>
      </c>
      <c r="D7" s="4" t="e">
        <f>#REF!</f>
        <v>#REF!</v>
      </c>
      <c r="E7" s="4" t="e">
        <f t="shared" si="0"/>
        <v>#REF!</v>
      </c>
    </row>
    <row r="8" spans="1:5" x14ac:dyDescent="0.25">
      <c r="A8" s="6" t="s">
        <v>98</v>
      </c>
      <c r="B8" s="7">
        <v>-2087463.48</v>
      </c>
      <c r="D8" s="4" t="e">
        <f>#REF!</f>
        <v>#REF!</v>
      </c>
      <c r="E8" s="4" t="e">
        <f t="shared" si="0"/>
        <v>#REF!</v>
      </c>
    </row>
    <row r="9" spans="1:5" x14ac:dyDescent="0.25">
      <c r="A9" s="6" t="s">
        <v>99</v>
      </c>
      <c r="B9" s="7">
        <v>-10955324.35</v>
      </c>
      <c r="D9" s="4" t="e">
        <f>#REF!+#REF!</f>
        <v>#REF!</v>
      </c>
      <c r="E9" s="4" t="e">
        <f t="shared" si="0"/>
        <v>#REF!</v>
      </c>
    </row>
    <row r="10" spans="1:5" ht="30" x14ac:dyDescent="0.25">
      <c r="A10" s="6" t="s">
        <v>137</v>
      </c>
      <c r="B10" s="7">
        <v>1891690.2000000002</v>
      </c>
      <c r="D10" s="4" t="e">
        <f>#REF!</f>
        <v>#REF!</v>
      </c>
      <c r="E10" s="4" t="e">
        <f t="shared" si="0"/>
        <v>#REF!</v>
      </c>
    </row>
    <row r="11" spans="1:5" ht="30" x14ac:dyDescent="0.25">
      <c r="A11" s="6" t="s">
        <v>138</v>
      </c>
      <c r="B11" s="7">
        <v>-0.18</v>
      </c>
      <c r="D11" s="4" t="e">
        <f>#REF!</f>
        <v>#REF!</v>
      </c>
      <c r="E11" s="4" t="e">
        <f t="shared" si="0"/>
        <v>#REF!</v>
      </c>
    </row>
    <row r="12" spans="1:5" ht="30" x14ac:dyDescent="0.25">
      <c r="A12" s="6" t="s">
        <v>155</v>
      </c>
      <c r="B12" s="7">
        <v>7201800.8899999987</v>
      </c>
      <c r="D12" s="4" t="e">
        <f>#REF!</f>
        <v>#REF!</v>
      </c>
      <c r="E12" s="4" t="e">
        <f t="shared" si="0"/>
        <v>#REF!</v>
      </c>
    </row>
    <row r="13" spans="1:5" x14ac:dyDescent="0.25">
      <c r="A13" s="5" t="s">
        <v>136</v>
      </c>
      <c r="B13" s="7"/>
    </row>
    <row r="14" spans="1:5" ht="30" x14ac:dyDescent="0.25">
      <c r="A14" s="6" t="s">
        <v>26</v>
      </c>
      <c r="B14" s="7">
        <v>-1299509.1599999999</v>
      </c>
      <c r="D14" s="4" t="e">
        <f>#REF!+#REF!</f>
        <v>#REF!</v>
      </c>
      <c r="E14" s="4" t="e">
        <f>B14-D14</f>
        <v>#REF!</v>
      </c>
    </row>
    <row r="15" spans="1:5" x14ac:dyDescent="0.25">
      <c r="A15" s="6" t="s">
        <v>28</v>
      </c>
      <c r="B15" s="7">
        <v>-2059679.87</v>
      </c>
      <c r="D15" s="4" t="e">
        <f>#REF!</f>
        <v>#REF!</v>
      </c>
      <c r="E15" s="4" t="e">
        <f t="shared" ref="E15:E78" si="1">B15-D15</f>
        <v>#REF!</v>
      </c>
    </row>
    <row r="16" spans="1:5" x14ac:dyDescent="0.25">
      <c r="A16" s="6" t="s">
        <v>29</v>
      </c>
      <c r="B16" s="7">
        <v>-2548512</v>
      </c>
      <c r="D16" s="4" t="e">
        <f>#REF!</f>
        <v>#REF!</v>
      </c>
      <c r="E16" s="4" t="e">
        <f t="shared" si="1"/>
        <v>#REF!</v>
      </c>
    </row>
    <row r="17" spans="1:5" x14ac:dyDescent="0.25">
      <c r="A17" s="6" t="s">
        <v>30</v>
      </c>
      <c r="B17" s="7">
        <v>-4726340.9000000004</v>
      </c>
      <c r="D17" s="4" t="e">
        <f>#REF!+#REF!</f>
        <v>#REF!</v>
      </c>
      <c r="E17" s="4" t="e">
        <f t="shared" si="1"/>
        <v>#REF!</v>
      </c>
    </row>
    <row r="18" spans="1:5" x14ac:dyDescent="0.25">
      <c r="A18" s="6" t="s">
        <v>31</v>
      </c>
      <c r="B18" s="7">
        <v>-635407.25</v>
      </c>
      <c r="D18" s="4" t="e">
        <f>#REF!</f>
        <v>#REF!</v>
      </c>
      <c r="E18" s="4" t="e">
        <f t="shared" si="1"/>
        <v>#REF!</v>
      </c>
    </row>
    <row r="19" spans="1:5" x14ac:dyDescent="0.25">
      <c r="A19" s="6" t="s">
        <v>33</v>
      </c>
      <c r="B19" s="7">
        <v>-595070.63</v>
      </c>
      <c r="D19" s="4" t="e">
        <f>#REF!+#REF!</f>
        <v>#REF!</v>
      </c>
      <c r="E19" s="4" t="e">
        <f t="shared" si="1"/>
        <v>#REF!</v>
      </c>
    </row>
    <row r="20" spans="1:5" x14ac:dyDescent="0.25">
      <c r="A20" s="6" t="s">
        <v>34</v>
      </c>
      <c r="B20" s="7">
        <v>-301655533.96000004</v>
      </c>
      <c r="D20" s="4" t="e">
        <f>#REF!+#REF!+#REF!</f>
        <v>#REF!</v>
      </c>
      <c r="E20" s="4" t="e">
        <f t="shared" si="1"/>
        <v>#REF!</v>
      </c>
    </row>
    <row r="21" spans="1:5" x14ac:dyDescent="0.25">
      <c r="A21" s="6" t="s">
        <v>37</v>
      </c>
      <c r="B21" s="7">
        <v>-35680.120000000003</v>
      </c>
      <c r="D21" s="4" t="e">
        <f>#REF!</f>
        <v>#REF!</v>
      </c>
      <c r="E21" s="4" t="e">
        <f t="shared" si="1"/>
        <v>#REF!</v>
      </c>
    </row>
    <row r="22" spans="1:5" x14ac:dyDescent="0.25">
      <c r="A22" s="6" t="s">
        <v>38</v>
      </c>
      <c r="B22" s="7">
        <v>-148191.70000000001</v>
      </c>
      <c r="D22" s="4" t="e">
        <f>#REF!</f>
        <v>#REF!</v>
      </c>
      <c r="E22" s="4" t="e">
        <f t="shared" si="1"/>
        <v>#REF!</v>
      </c>
    </row>
    <row r="23" spans="1:5" x14ac:dyDescent="0.25">
      <c r="A23" s="6" t="s">
        <v>40</v>
      </c>
      <c r="B23" s="7">
        <v>-53842.75</v>
      </c>
      <c r="D23" s="4" t="e">
        <f>#REF!</f>
        <v>#REF!</v>
      </c>
      <c r="E23" s="4" t="e">
        <f t="shared" si="1"/>
        <v>#REF!</v>
      </c>
    </row>
    <row r="24" spans="1:5" x14ac:dyDescent="0.25">
      <c r="A24" s="6" t="s">
        <v>41</v>
      </c>
      <c r="B24" s="7">
        <v>-203216.95</v>
      </c>
      <c r="D24" s="4" t="e">
        <f>#REF!</f>
        <v>#REF!</v>
      </c>
      <c r="E24" s="4" t="e">
        <f t="shared" si="1"/>
        <v>#REF!</v>
      </c>
    </row>
    <row r="25" spans="1:5" x14ac:dyDescent="0.25">
      <c r="A25" s="6" t="s">
        <v>43</v>
      </c>
      <c r="B25" s="7">
        <v>-325650</v>
      </c>
      <c r="D25" s="4" t="e">
        <f>#REF!</f>
        <v>#REF!</v>
      </c>
      <c r="E25" s="4" t="e">
        <f t="shared" si="1"/>
        <v>#REF!</v>
      </c>
    </row>
    <row r="26" spans="1:5" x14ac:dyDescent="0.25">
      <c r="A26" s="6" t="s">
        <v>44</v>
      </c>
      <c r="B26" s="7">
        <v>-832000</v>
      </c>
      <c r="D26" s="4" t="e">
        <f>#REF!</f>
        <v>#REF!</v>
      </c>
      <c r="E26" s="4" t="e">
        <f t="shared" si="1"/>
        <v>#REF!</v>
      </c>
    </row>
    <row r="27" spans="1:5" ht="30" x14ac:dyDescent="0.25">
      <c r="A27" s="6" t="s">
        <v>46</v>
      </c>
      <c r="B27" s="7">
        <v>-381575.5</v>
      </c>
      <c r="D27" s="4" t="e">
        <f>#REF!</f>
        <v>#REF!</v>
      </c>
      <c r="E27" s="4" t="e">
        <f t="shared" si="1"/>
        <v>#REF!</v>
      </c>
    </row>
    <row r="28" spans="1:5" ht="30" x14ac:dyDescent="0.25">
      <c r="A28" s="6" t="s">
        <v>48</v>
      </c>
      <c r="B28" s="7">
        <v>-46368</v>
      </c>
      <c r="D28" s="4" t="e">
        <f>#REF!</f>
        <v>#REF!</v>
      </c>
      <c r="E28" s="4" t="e">
        <f t="shared" si="1"/>
        <v>#REF!</v>
      </c>
    </row>
    <row r="29" spans="1:5" ht="30" x14ac:dyDescent="0.25">
      <c r="A29" s="6" t="s">
        <v>49</v>
      </c>
      <c r="B29" s="7">
        <v>-17035.7</v>
      </c>
      <c r="D29" s="4" t="e">
        <f>#REF!</f>
        <v>#REF!</v>
      </c>
      <c r="E29" s="4" t="e">
        <f t="shared" si="1"/>
        <v>#REF!</v>
      </c>
    </row>
    <row r="30" spans="1:5" ht="45" x14ac:dyDescent="0.25">
      <c r="A30" s="6" t="s">
        <v>50</v>
      </c>
      <c r="B30" s="7">
        <v>-894088.36</v>
      </c>
      <c r="D30" s="4" t="e">
        <f>#REF!</f>
        <v>#REF!</v>
      </c>
      <c r="E30" s="4" t="e">
        <f t="shared" si="1"/>
        <v>#REF!</v>
      </c>
    </row>
    <row r="31" spans="1:5" ht="30" x14ac:dyDescent="0.25">
      <c r="A31" s="6" t="s">
        <v>51</v>
      </c>
      <c r="B31" s="7">
        <v>-1800</v>
      </c>
      <c r="D31" s="4" t="e">
        <f>#REF!</f>
        <v>#REF!</v>
      </c>
      <c r="E31" s="4" t="e">
        <f t="shared" si="1"/>
        <v>#REF!</v>
      </c>
    </row>
    <row r="32" spans="1:5" x14ac:dyDescent="0.25">
      <c r="A32" s="6" t="s">
        <v>52</v>
      </c>
      <c r="B32" s="7">
        <v>-564620.67999999993</v>
      </c>
      <c r="D32" s="4" t="e">
        <f>#REF!</f>
        <v>#REF!</v>
      </c>
      <c r="E32" s="4" t="e">
        <f>B32-D32</f>
        <v>#REF!</v>
      </c>
    </row>
    <row r="33" spans="1:5" x14ac:dyDescent="0.25">
      <c r="A33" s="6" t="s">
        <v>53</v>
      </c>
      <c r="B33" s="7">
        <v>-832117.92</v>
      </c>
      <c r="D33" s="4" t="e">
        <f>#REF!</f>
        <v>#REF!</v>
      </c>
      <c r="E33" s="4" t="e">
        <f t="shared" si="1"/>
        <v>#REF!</v>
      </c>
    </row>
    <row r="34" spans="1:5" ht="45" x14ac:dyDescent="0.25">
      <c r="A34" s="6" t="s">
        <v>54</v>
      </c>
      <c r="B34" s="7">
        <v>-7120.12</v>
      </c>
      <c r="D34" s="4" t="e">
        <f>#REF!</f>
        <v>#REF!</v>
      </c>
      <c r="E34" s="4" t="e">
        <f t="shared" si="1"/>
        <v>#REF!</v>
      </c>
    </row>
    <row r="35" spans="1:5" ht="30" x14ac:dyDescent="0.25">
      <c r="A35" s="6" t="s">
        <v>55</v>
      </c>
      <c r="B35" s="7">
        <v>-90985</v>
      </c>
      <c r="D35" s="4" t="e">
        <f>#REF!</f>
        <v>#REF!</v>
      </c>
      <c r="E35" s="4" t="e">
        <f t="shared" si="1"/>
        <v>#REF!</v>
      </c>
    </row>
    <row r="36" spans="1:5" ht="30" x14ac:dyDescent="0.25">
      <c r="A36" s="6" t="s">
        <v>56</v>
      </c>
      <c r="B36" s="7">
        <v>-443675.5</v>
      </c>
      <c r="D36" s="4" t="e">
        <f>#REF!</f>
        <v>#REF!</v>
      </c>
      <c r="E36" s="4" t="e">
        <f t="shared" si="1"/>
        <v>#REF!</v>
      </c>
    </row>
    <row r="37" spans="1:5" ht="45" x14ac:dyDescent="0.25">
      <c r="A37" s="6" t="s">
        <v>57</v>
      </c>
      <c r="B37" s="7">
        <v>-143251.33000000002</v>
      </c>
      <c r="D37" s="4" t="e">
        <f>#REF!</f>
        <v>#REF!</v>
      </c>
      <c r="E37" s="4" t="e">
        <f t="shared" si="1"/>
        <v>#REF!</v>
      </c>
    </row>
    <row r="38" spans="1:5" ht="30" x14ac:dyDescent="0.25">
      <c r="A38" s="6" t="s">
        <v>59</v>
      </c>
      <c r="B38" s="7">
        <v>-1157074.77</v>
      </c>
      <c r="D38" s="4" t="e">
        <f>#REF!+#REF!</f>
        <v>#REF!</v>
      </c>
      <c r="E38" s="4" t="e">
        <f t="shared" si="1"/>
        <v>#REF!</v>
      </c>
    </row>
    <row r="39" spans="1:5" ht="30" x14ac:dyDescent="0.25">
      <c r="A39" s="6" t="s">
        <v>60</v>
      </c>
      <c r="B39" s="7">
        <v>-1110780.8500000001</v>
      </c>
      <c r="D39" s="4" t="e">
        <f>#REF!</f>
        <v>#REF!</v>
      </c>
      <c r="E39" s="4" t="e">
        <f>B39-D39</f>
        <v>#REF!</v>
      </c>
    </row>
    <row r="40" spans="1:5" ht="30" x14ac:dyDescent="0.25">
      <c r="A40" s="6" t="s">
        <v>61</v>
      </c>
      <c r="B40" s="7">
        <v>-346121.6</v>
      </c>
      <c r="D40" s="4" t="e">
        <f>#REF!</f>
        <v>#REF!</v>
      </c>
      <c r="E40" s="4" t="e">
        <f t="shared" si="1"/>
        <v>#REF!</v>
      </c>
    </row>
    <row r="41" spans="1:5" x14ac:dyDescent="0.25">
      <c r="A41" s="6" t="s">
        <v>63</v>
      </c>
      <c r="B41" s="7">
        <v>-12399.87</v>
      </c>
      <c r="D41" s="4" t="e">
        <f>#REF!</f>
        <v>#REF!</v>
      </c>
      <c r="E41" s="4" t="e">
        <f t="shared" si="1"/>
        <v>#REF!</v>
      </c>
    </row>
    <row r="42" spans="1:5" ht="30" x14ac:dyDescent="0.25">
      <c r="A42" s="6" t="s">
        <v>64</v>
      </c>
      <c r="B42" s="7">
        <v>-33460.85</v>
      </c>
      <c r="D42" s="4" t="e">
        <f>#REF!</f>
        <v>#REF!</v>
      </c>
      <c r="E42" s="4" t="e">
        <f t="shared" si="1"/>
        <v>#REF!</v>
      </c>
    </row>
    <row r="43" spans="1:5" x14ac:dyDescent="0.25">
      <c r="A43" s="6" t="s">
        <v>65</v>
      </c>
      <c r="B43" s="7">
        <v>-1250</v>
      </c>
      <c r="D43" s="4" t="e">
        <f>#REF!</f>
        <v>#REF!</v>
      </c>
      <c r="E43" s="4" t="e">
        <f t="shared" si="1"/>
        <v>#REF!</v>
      </c>
    </row>
    <row r="44" spans="1:5" x14ac:dyDescent="0.25">
      <c r="A44" s="6" t="s">
        <v>66</v>
      </c>
      <c r="B44" s="7">
        <v>-990</v>
      </c>
      <c r="D44" s="4" t="e">
        <f>#REF!</f>
        <v>#REF!</v>
      </c>
      <c r="E44" s="4" t="e">
        <f t="shared" si="1"/>
        <v>#REF!</v>
      </c>
    </row>
    <row r="45" spans="1:5" x14ac:dyDescent="0.25">
      <c r="A45" s="6" t="s">
        <v>67</v>
      </c>
      <c r="B45" s="7">
        <v>-1490602.7</v>
      </c>
      <c r="D45" s="4" t="e">
        <f>#REF!</f>
        <v>#REF!</v>
      </c>
      <c r="E45" s="4" t="e">
        <f t="shared" si="1"/>
        <v>#REF!</v>
      </c>
    </row>
    <row r="46" spans="1:5" x14ac:dyDescent="0.25">
      <c r="A46" s="6" t="s">
        <v>68</v>
      </c>
      <c r="B46" s="7">
        <v>-1642.5</v>
      </c>
      <c r="D46" s="4" t="e">
        <f>#REF!</f>
        <v>#REF!</v>
      </c>
      <c r="E46" s="4" t="e">
        <f t="shared" si="1"/>
        <v>#REF!</v>
      </c>
    </row>
    <row r="47" spans="1:5" x14ac:dyDescent="0.25">
      <c r="A47" s="6" t="s">
        <v>69</v>
      </c>
      <c r="B47" s="7">
        <v>-1061579.08</v>
      </c>
      <c r="D47" s="4" t="e">
        <f>#REF!</f>
        <v>#REF!</v>
      </c>
      <c r="E47" s="4" t="e">
        <f t="shared" si="1"/>
        <v>#REF!</v>
      </c>
    </row>
    <row r="48" spans="1:5" x14ac:dyDescent="0.25">
      <c r="A48" s="6" t="s">
        <v>70</v>
      </c>
      <c r="B48" s="7">
        <v>-10426716.860000001</v>
      </c>
      <c r="D48" s="4" t="e">
        <f>#REF!</f>
        <v>#REF!</v>
      </c>
      <c r="E48" s="4" t="e">
        <f t="shared" si="1"/>
        <v>#REF!</v>
      </c>
    </row>
    <row r="49" spans="1:5" ht="30" x14ac:dyDescent="0.25">
      <c r="A49" s="6" t="s">
        <v>72</v>
      </c>
      <c r="B49" s="7">
        <v>1104226.93</v>
      </c>
      <c r="D49" s="4" t="e">
        <f>#REF!</f>
        <v>#REF!</v>
      </c>
      <c r="E49" s="4" t="e">
        <f>B49-D49</f>
        <v>#REF!</v>
      </c>
    </row>
    <row r="50" spans="1:5" ht="30" x14ac:dyDescent="0.25">
      <c r="A50" s="6" t="s">
        <v>73</v>
      </c>
      <c r="B50" s="7">
        <v>260</v>
      </c>
      <c r="D50" s="4" t="e">
        <f>#REF!</f>
        <v>#REF!</v>
      </c>
      <c r="E50" s="4" t="e">
        <f t="shared" si="1"/>
        <v>#REF!</v>
      </c>
    </row>
    <row r="51" spans="1:5" ht="30" x14ac:dyDescent="0.25">
      <c r="A51" s="6" t="s">
        <v>75</v>
      </c>
      <c r="B51" s="7">
        <v>1844080.11</v>
      </c>
      <c r="D51" s="4" t="e">
        <f>#REF!</f>
        <v>#REF!</v>
      </c>
      <c r="E51" s="4" t="e">
        <f t="shared" si="1"/>
        <v>#REF!</v>
      </c>
    </row>
    <row r="52" spans="1:5" ht="30" x14ac:dyDescent="0.25">
      <c r="A52" s="6" t="s">
        <v>76</v>
      </c>
      <c r="B52" s="7">
        <v>35940.31</v>
      </c>
      <c r="D52" s="4" t="e">
        <f>#REF!</f>
        <v>#REF!</v>
      </c>
      <c r="E52" s="4" t="e">
        <f t="shared" si="1"/>
        <v>#REF!</v>
      </c>
    </row>
    <row r="53" spans="1:5" ht="30" x14ac:dyDescent="0.25">
      <c r="A53" s="6" t="s">
        <v>77</v>
      </c>
      <c r="B53" s="7">
        <v>1800000</v>
      </c>
      <c r="D53" s="4" t="e">
        <f>#REF!</f>
        <v>#REF!</v>
      </c>
      <c r="E53" s="4" t="e">
        <f t="shared" si="1"/>
        <v>#REF!</v>
      </c>
    </row>
    <row r="54" spans="1:5" ht="30" x14ac:dyDescent="0.25">
      <c r="A54" s="6" t="s">
        <v>78</v>
      </c>
      <c r="B54" s="7">
        <v>24322</v>
      </c>
      <c r="D54" s="4" t="e">
        <f>#REF!+#REF!</f>
        <v>#REF!</v>
      </c>
      <c r="E54" s="4" t="e">
        <f t="shared" si="1"/>
        <v>#REF!</v>
      </c>
    </row>
    <row r="55" spans="1:5" x14ac:dyDescent="0.25">
      <c r="A55" s="6" t="s">
        <v>79</v>
      </c>
      <c r="B55" s="7">
        <v>6560</v>
      </c>
      <c r="D55" s="4" t="e">
        <f>#REF!</f>
        <v>#REF!</v>
      </c>
      <c r="E55" s="4" t="e">
        <f t="shared" si="1"/>
        <v>#REF!</v>
      </c>
    </row>
    <row r="56" spans="1:5" x14ac:dyDescent="0.25">
      <c r="A56" s="6" t="s">
        <v>81</v>
      </c>
      <c r="B56" s="7">
        <v>2200167.13</v>
      </c>
      <c r="D56" s="4" t="e">
        <f>#REF!</f>
        <v>#REF!</v>
      </c>
      <c r="E56" s="4" t="e">
        <f t="shared" si="1"/>
        <v>#REF!</v>
      </c>
    </row>
    <row r="57" spans="1:5" ht="45" x14ac:dyDescent="0.25">
      <c r="A57" s="6" t="s">
        <v>82</v>
      </c>
      <c r="B57" s="7">
        <v>120.12</v>
      </c>
      <c r="D57" s="4" t="e">
        <f>#REF!</f>
        <v>#REF!</v>
      </c>
      <c r="E57" s="4" t="e">
        <f t="shared" si="1"/>
        <v>#REF!</v>
      </c>
    </row>
    <row r="58" spans="1:5" ht="30" x14ac:dyDescent="0.25">
      <c r="A58" s="6" t="s">
        <v>83</v>
      </c>
      <c r="B58" s="7">
        <v>29.98</v>
      </c>
      <c r="D58" s="4" t="e">
        <f>#REF!</f>
        <v>#REF!</v>
      </c>
      <c r="E58" s="4" t="e">
        <f t="shared" si="1"/>
        <v>#REF!</v>
      </c>
    </row>
    <row r="59" spans="1:5" ht="30" x14ac:dyDescent="0.25">
      <c r="A59" s="6" t="s">
        <v>84</v>
      </c>
      <c r="B59" s="7">
        <v>33460.85</v>
      </c>
      <c r="D59" s="4" t="e">
        <f>#REF!</f>
        <v>#REF!</v>
      </c>
      <c r="E59" s="4" t="e">
        <f>B59-D59</f>
        <v>#REF!</v>
      </c>
    </row>
    <row r="60" spans="1:5" ht="45" x14ac:dyDescent="0.25">
      <c r="A60" s="6" t="s">
        <v>85</v>
      </c>
      <c r="B60" s="7">
        <v>30000</v>
      </c>
      <c r="D60" s="4" t="e">
        <f>#REF!</f>
        <v>#REF!</v>
      </c>
      <c r="E60" s="4" t="e">
        <f t="shared" si="1"/>
        <v>#REF!</v>
      </c>
    </row>
    <row r="61" spans="1:5" x14ac:dyDescent="0.25">
      <c r="A61" s="6" t="s">
        <v>45</v>
      </c>
      <c r="B61" s="7">
        <v>130000</v>
      </c>
      <c r="D61" s="4" t="e">
        <f>#REF!</f>
        <v>#REF!</v>
      </c>
      <c r="E61" s="4" t="e">
        <f t="shared" si="1"/>
        <v>#REF!</v>
      </c>
    </row>
    <row r="62" spans="1:5" ht="30" x14ac:dyDescent="0.25">
      <c r="A62" s="6" t="s">
        <v>102</v>
      </c>
      <c r="B62" s="7">
        <v>-5738150</v>
      </c>
      <c r="D62" s="4" t="e">
        <f>#REF!</f>
        <v>#REF!</v>
      </c>
      <c r="E62" s="4" t="e">
        <f t="shared" si="1"/>
        <v>#REF!</v>
      </c>
    </row>
    <row r="63" spans="1:5" ht="30" x14ac:dyDescent="0.25">
      <c r="A63" s="6" t="s">
        <v>103</v>
      </c>
      <c r="B63" s="7">
        <v>-177750</v>
      </c>
      <c r="D63" s="4" t="e">
        <f>#REF!</f>
        <v>#REF!</v>
      </c>
      <c r="E63" s="4" t="e">
        <f t="shared" si="1"/>
        <v>#REF!</v>
      </c>
    </row>
    <row r="64" spans="1:5" x14ac:dyDescent="0.25">
      <c r="A64" s="6" t="s">
        <v>104</v>
      </c>
      <c r="B64" s="7">
        <v>3390150.85</v>
      </c>
      <c r="D64" s="4" t="e">
        <f>#REF!+#REF!+#REF!+#REF!</f>
        <v>#REF!</v>
      </c>
      <c r="E64" s="4" t="e">
        <f t="shared" si="1"/>
        <v>#REF!</v>
      </c>
    </row>
    <row r="65" spans="1:5" x14ac:dyDescent="0.25">
      <c r="A65" s="6" t="s">
        <v>107</v>
      </c>
      <c r="B65" s="7">
        <v>69995</v>
      </c>
      <c r="D65" s="4" t="e">
        <f>#REF!</f>
        <v>#REF!</v>
      </c>
      <c r="E65" s="4" t="e">
        <f>B65-D65</f>
        <v>#REF!</v>
      </c>
    </row>
    <row r="66" spans="1:5" x14ac:dyDescent="0.25">
      <c r="A66" s="6" t="s">
        <v>108</v>
      </c>
      <c r="B66" s="7">
        <v>2000</v>
      </c>
      <c r="D66" s="4" t="e">
        <f>#REF!</f>
        <v>#REF!</v>
      </c>
      <c r="E66" s="4" t="e">
        <f t="shared" si="1"/>
        <v>#REF!</v>
      </c>
    </row>
    <row r="67" spans="1:5" x14ac:dyDescent="0.25">
      <c r="A67" s="6" t="s">
        <v>109</v>
      </c>
      <c r="B67" s="7">
        <v>3305800</v>
      </c>
      <c r="D67" s="4" t="e">
        <f>#REF!</f>
        <v>#REF!</v>
      </c>
      <c r="E67" s="4" t="e">
        <f t="shared" si="1"/>
        <v>#REF!</v>
      </c>
    </row>
    <row r="68" spans="1:5" ht="30" x14ac:dyDescent="0.25">
      <c r="A68" s="6" t="s">
        <v>110</v>
      </c>
      <c r="B68" s="7">
        <v>-188263.29</v>
      </c>
      <c r="D68" s="4" t="e">
        <f>#REF!</f>
        <v>#REF!</v>
      </c>
      <c r="E68" s="4" t="e">
        <f t="shared" si="1"/>
        <v>#REF!</v>
      </c>
    </row>
    <row r="69" spans="1:5" ht="30" x14ac:dyDescent="0.25">
      <c r="A69" s="6" t="s">
        <v>111</v>
      </c>
      <c r="B69" s="7">
        <v>-32305.08</v>
      </c>
      <c r="D69" s="4" t="e">
        <f>#REF!</f>
        <v>#REF!</v>
      </c>
      <c r="E69" s="4" t="e">
        <f t="shared" si="1"/>
        <v>#REF!</v>
      </c>
    </row>
    <row r="70" spans="1:5" ht="30" x14ac:dyDescent="0.25">
      <c r="A70" s="6" t="s">
        <v>112</v>
      </c>
      <c r="B70" s="7">
        <v>-38132.720000000001</v>
      </c>
      <c r="D70" s="4" t="e">
        <f>#REF!</f>
        <v>#REF!</v>
      </c>
      <c r="E70" s="4" t="e">
        <f t="shared" si="1"/>
        <v>#REF!</v>
      </c>
    </row>
    <row r="71" spans="1:5" ht="30" x14ac:dyDescent="0.25">
      <c r="A71" s="6" t="s">
        <v>113</v>
      </c>
      <c r="B71" s="7">
        <v>-45333.93</v>
      </c>
      <c r="D71" s="4" t="e">
        <f>#REF!</f>
        <v>#REF!</v>
      </c>
      <c r="E71" s="4" t="e">
        <f t="shared" si="1"/>
        <v>#REF!</v>
      </c>
    </row>
    <row r="72" spans="1:5" x14ac:dyDescent="0.25">
      <c r="A72" s="6" t="s">
        <v>114</v>
      </c>
      <c r="B72" s="7">
        <v>36310460.869999997</v>
      </c>
      <c r="D72" s="4" t="e">
        <f>#REF!+#REF!</f>
        <v>#REF!</v>
      </c>
      <c r="E72" s="4" t="e">
        <f t="shared" si="1"/>
        <v>#REF!</v>
      </c>
    </row>
    <row r="73" spans="1:5" ht="30" x14ac:dyDescent="0.25">
      <c r="A73" s="6" t="s">
        <v>115</v>
      </c>
      <c r="B73" s="7">
        <v>52915894.07</v>
      </c>
      <c r="D73" s="4" t="e">
        <f>#REF!</f>
        <v>#REF!</v>
      </c>
      <c r="E73" s="4" t="e">
        <f t="shared" si="1"/>
        <v>#REF!</v>
      </c>
    </row>
    <row r="74" spans="1:5" ht="30" x14ac:dyDescent="0.25">
      <c r="A74" s="6" t="s">
        <v>139</v>
      </c>
      <c r="B74" s="7">
        <v>713188.46</v>
      </c>
      <c r="D74" s="4" t="e">
        <f>#REF!</f>
        <v>#REF!</v>
      </c>
      <c r="E74" s="4" t="e">
        <f t="shared" si="1"/>
        <v>#REF!</v>
      </c>
    </row>
    <row r="75" spans="1:5" x14ac:dyDescent="0.25">
      <c r="A75" s="6" t="s">
        <v>140</v>
      </c>
      <c r="B75" s="7">
        <v>-5458382.25</v>
      </c>
      <c r="D75" s="4" t="e">
        <f>#REF!</f>
        <v>#REF!</v>
      </c>
      <c r="E75" s="4" t="e">
        <f>B75-D75</f>
        <v>#REF!</v>
      </c>
    </row>
    <row r="76" spans="1:5" x14ac:dyDescent="0.25">
      <c r="A76" s="6" t="s">
        <v>141</v>
      </c>
      <c r="B76" s="7">
        <v>-103507.5</v>
      </c>
      <c r="D76" s="4" t="e">
        <f>#REF!</f>
        <v>#REF!</v>
      </c>
      <c r="E76" s="4" t="e">
        <f t="shared" si="1"/>
        <v>#REF!</v>
      </c>
    </row>
    <row r="77" spans="1:5" ht="30" x14ac:dyDescent="0.25">
      <c r="A77" s="6" t="s">
        <v>142</v>
      </c>
      <c r="B77" s="7">
        <v>-58.44</v>
      </c>
      <c r="D77" s="4" t="e">
        <f>#REF!</f>
        <v>#REF!</v>
      </c>
      <c r="E77" s="4" t="e">
        <f t="shared" si="1"/>
        <v>#REF!</v>
      </c>
    </row>
    <row r="78" spans="1:5" ht="30" x14ac:dyDescent="0.25">
      <c r="A78" s="6" t="s">
        <v>143</v>
      </c>
      <c r="B78" s="7">
        <v>-534100</v>
      </c>
      <c r="D78" s="4" t="e">
        <f>#REF!</f>
        <v>#REF!</v>
      </c>
      <c r="E78" s="4" t="e">
        <f t="shared" si="1"/>
        <v>#REF!</v>
      </c>
    </row>
    <row r="79" spans="1:5" ht="30" x14ac:dyDescent="0.25">
      <c r="A79" s="6" t="s">
        <v>144</v>
      </c>
      <c r="B79" s="7">
        <v>-23685</v>
      </c>
      <c r="D79" s="4" t="e">
        <f>#REF!</f>
        <v>#REF!</v>
      </c>
      <c r="E79" s="4" t="e">
        <f t="shared" ref="E79:E88" si="2">B79-D79</f>
        <v>#REF!</v>
      </c>
    </row>
    <row r="80" spans="1:5" ht="30" x14ac:dyDescent="0.25">
      <c r="A80" s="6" t="s">
        <v>145</v>
      </c>
      <c r="B80" s="7">
        <v>-271741.58</v>
      </c>
      <c r="D80" s="4" t="e">
        <f>#REF!</f>
        <v>#REF!</v>
      </c>
      <c r="E80" s="4" t="e">
        <f t="shared" si="2"/>
        <v>#REF!</v>
      </c>
    </row>
    <row r="81" spans="1:5" ht="30" x14ac:dyDescent="0.25">
      <c r="A81" s="6" t="s">
        <v>146</v>
      </c>
      <c r="B81" s="7">
        <v>-400603.9</v>
      </c>
      <c r="D81" s="4" t="e">
        <f>#REF!</f>
        <v>#REF!</v>
      </c>
      <c r="E81" s="4" t="e">
        <f t="shared" si="2"/>
        <v>#REF!</v>
      </c>
    </row>
    <row r="82" spans="1:5" ht="30" x14ac:dyDescent="0.25">
      <c r="A82" s="6" t="s">
        <v>147</v>
      </c>
      <c r="B82" s="7">
        <v>-8780</v>
      </c>
      <c r="D82" s="4" t="e">
        <f>#REF!</f>
        <v>#REF!</v>
      </c>
      <c r="E82" s="4" t="e">
        <f t="shared" si="2"/>
        <v>#REF!</v>
      </c>
    </row>
    <row r="83" spans="1:5" x14ac:dyDescent="0.25">
      <c r="A83" s="6" t="s">
        <v>148</v>
      </c>
      <c r="B83" s="7">
        <v>100</v>
      </c>
      <c r="D83" s="4" t="e">
        <f>#REF!</f>
        <v>#REF!</v>
      </c>
      <c r="E83" s="4" t="e">
        <f t="shared" si="2"/>
        <v>#REF!</v>
      </c>
    </row>
    <row r="84" spans="1:5" x14ac:dyDescent="0.25">
      <c r="A84" s="6" t="s">
        <v>149</v>
      </c>
      <c r="B84" s="7">
        <v>38480</v>
      </c>
      <c r="D84" s="4" t="e">
        <f>#REF!</f>
        <v>#REF!</v>
      </c>
      <c r="E84" s="4" t="e">
        <f t="shared" si="2"/>
        <v>#REF!</v>
      </c>
    </row>
    <row r="85" spans="1:5" x14ac:dyDescent="0.25">
      <c r="A85" s="6" t="s">
        <v>150</v>
      </c>
      <c r="B85" s="7">
        <v>204010.52</v>
      </c>
      <c r="D85" s="4" t="e">
        <f>#REF!</f>
        <v>#REF!</v>
      </c>
      <c r="E85" s="4" t="e">
        <f t="shared" si="2"/>
        <v>#REF!</v>
      </c>
    </row>
    <row r="86" spans="1:5" x14ac:dyDescent="0.25">
      <c r="A86" s="6" t="s">
        <v>151</v>
      </c>
      <c r="B86" s="7">
        <v>82792.240000000005</v>
      </c>
      <c r="D86" s="4" t="e">
        <f>#REF!</f>
        <v>#REF!</v>
      </c>
      <c r="E86" s="4" t="e">
        <f t="shared" si="2"/>
        <v>#REF!</v>
      </c>
    </row>
    <row r="87" spans="1:5" ht="30" x14ac:dyDescent="0.25">
      <c r="A87" s="6" t="s">
        <v>152</v>
      </c>
      <c r="B87" s="7">
        <v>7.24</v>
      </c>
      <c r="D87" s="4" t="e">
        <f>#REF!</f>
        <v>#REF!</v>
      </c>
      <c r="E87" s="4" t="e">
        <f t="shared" si="2"/>
        <v>#REF!</v>
      </c>
    </row>
    <row r="88" spans="1:5" x14ac:dyDescent="0.25">
      <c r="A88" s="6" t="s">
        <v>153</v>
      </c>
      <c r="B88" s="7">
        <v>39000</v>
      </c>
      <c r="D88" s="4" t="e">
        <f>#REF!</f>
        <v>#REF!</v>
      </c>
      <c r="E88" s="4" t="e">
        <f t="shared" si="2"/>
        <v>#REF!</v>
      </c>
    </row>
    <row r="90" spans="1:5" x14ac:dyDescent="0.25">
      <c r="D90" s="7">
        <f>SUM(B2:B88)</f>
        <v>-861146619.62000024</v>
      </c>
      <c r="E90" s="4" t="e">
        <f>#REF!</f>
        <v>#REF!</v>
      </c>
    </row>
    <row r="91" spans="1:5" x14ac:dyDescent="0.25">
      <c r="D91" s="4">
        <f>'[4]Conso-BOAS 2022'!$D$50+[5]BOAS!$D$15+'[6]FC 6'!$D$13+'[6] FC 7 '!$E$17</f>
        <v>-861146619.61999989</v>
      </c>
    </row>
    <row r="92" spans="1:5" x14ac:dyDescent="0.25">
      <c r="D92" s="4" t="e">
        <f>-861146619.62+#REF!</f>
        <v>#REF!</v>
      </c>
      <c r="E92" s="4" t="e">
        <f>D90-E90</f>
        <v>#REF!</v>
      </c>
    </row>
    <row r="93" spans="1:5" x14ac:dyDescent="0.25">
      <c r="D93" s="4">
        <f>D90-D91</f>
        <v>0</v>
      </c>
    </row>
    <row r="99" spans="2:4" x14ac:dyDescent="0.25">
      <c r="B99" s="4">
        <f>SUM(B2:B98)</f>
        <v>-861146619.62000024</v>
      </c>
      <c r="D99" s="4" t="e">
        <f>SUM(D2:D88)</f>
        <v>#REF!</v>
      </c>
    </row>
  </sheetData>
  <autoFilter ref="A13:D88"/>
  <conditionalFormatting sqref="A1:A1048576">
    <cfRule type="duplicateValues" dxfId="6" priority="3"/>
  </conditionalFormatting>
  <conditionalFormatting sqref="E1:E1048576">
    <cfRule type="cellIs" dxfId="5" priority="1" operator="lessThan">
      <formula>0</formula>
    </cfRule>
    <cfRule type="cellIs" dxfId="4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69"/>
  <sheetViews>
    <sheetView tabSelected="1" topLeftCell="A7" zoomScaleNormal="100" workbookViewId="0">
      <pane xSplit="8" ySplit="13" topLeftCell="I100" activePane="bottomRight" state="frozen"/>
      <selection activeCell="A7" sqref="A7"/>
      <selection pane="topRight" activeCell="I7" sqref="I7"/>
      <selection pane="bottomLeft" activeCell="A20" sqref="A20"/>
      <selection pane="bottomRight" activeCell="I111" sqref="I111"/>
    </sheetView>
  </sheetViews>
  <sheetFormatPr defaultColWidth="9.140625" defaultRowHeight="15.75" x14ac:dyDescent="0.25"/>
  <cols>
    <col min="1" max="1" width="2.28515625" style="110" customWidth="1"/>
    <col min="2" max="2" width="18.140625" style="146" customWidth="1"/>
    <col min="3" max="3" width="41" style="109" customWidth="1"/>
    <col min="4" max="6" width="22.140625" style="109" hidden="1" customWidth="1"/>
    <col min="7" max="7" width="33.7109375" style="108" customWidth="1"/>
    <col min="8" max="8" width="28.5703125" style="109" customWidth="1"/>
    <col min="9" max="9" width="27.42578125" style="110" customWidth="1"/>
    <col min="10" max="10" width="18.85546875" style="110" customWidth="1"/>
    <col min="11" max="11" width="17.140625" style="200" customWidth="1"/>
    <col min="12" max="12" width="17.140625" style="224" customWidth="1"/>
    <col min="13" max="13" width="40.7109375" style="110" bestFit="1" customWidth="1"/>
    <col min="14" max="14" width="17.5703125" style="110" customWidth="1"/>
    <col min="15" max="15" width="15.7109375" style="110" customWidth="1"/>
    <col min="16" max="16" width="16.42578125" style="110" customWidth="1"/>
    <col min="17" max="17" width="22.7109375" style="110" bestFit="1" customWidth="1"/>
    <col min="18" max="18" width="15.85546875" style="110" customWidth="1"/>
    <col min="19" max="19" width="16.28515625" style="110" customWidth="1"/>
    <col min="20" max="20" width="9.140625" style="110"/>
    <col min="21" max="21" width="23.5703125" style="110" bestFit="1" customWidth="1"/>
    <col min="22" max="23" width="23.140625" style="110" bestFit="1" customWidth="1"/>
    <col min="24" max="24" width="17" style="110" bestFit="1" customWidth="1"/>
    <col min="25" max="16384" width="9.140625" style="110"/>
  </cols>
  <sheetData>
    <row r="1" spans="1:22" s="104" customFormat="1" ht="31.15" customHeight="1" x14ac:dyDescent="0.25">
      <c r="A1" s="1" t="s">
        <v>0</v>
      </c>
      <c r="B1" s="196"/>
      <c r="C1" s="2"/>
      <c r="D1" s="2"/>
      <c r="E1" s="2"/>
      <c r="F1" s="2"/>
      <c r="G1" s="102"/>
      <c r="H1" s="103"/>
      <c r="K1" s="199"/>
      <c r="L1" s="223"/>
    </row>
    <row r="2" spans="1:22" s="104" customFormat="1" ht="15.6" customHeight="1" x14ac:dyDescent="0.25">
      <c r="A2" s="1" t="s">
        <v>1</v>
      </c>
      <c r="B2" s="196"/>
      <c r="C2" s="2"/>
      <c r="D2" s="2"/>
      <c r="E2" s="2"/>
      <c r="F2" s="2"/>
      <c r="G2" s="102"/>
      <c r="H2" s="103"/>
      <c r="K2" s="199"/>
      <c r="L2" s="223"/>
    </row>
    <row r="3" spans="1:22" s="104" customFormat="1" x14ac:dyDescent="0.25">
      <c r="A3" s="1" t="s">
        <v>295</v>
      </c>
      <c r="B3" s="196"/>
      <c r="C3" s="2"/>
      <c r="D3" s="2"/>
      <c r="E3" s="2"/>
      <c r="F3" s="2"/>
      <c r="G3" s="102"/>
      <c r="H3" s="106"/>
      <c r="I3" s="107"/>
      <c r="K3" s="199"/>
      <c r="L3" s="223"/>
    </row>
    <row r="4" spans="1:22" s="104" customFormat="1" x14ac:dyDescent="0.25">
      <c r="A4" s="1" t="s">
        <v>2</v>
      </c>
      <c r="B4" s="196"/>
      <c r="C4" s="2"/>
      <c r="D4" s="2"/>
      <c r="E4" s="2"/>
      <c r="F4" s="2"/>
      <c r="G4" s="102"/>
      <c r="H4" s="103"/>
      <c r="K4" s="199"/>
      <c r="L4" s="223"/>
      <c r="M4" s="237">
        <f>Q111-G110</f>
        <v>0</v>
      </c>
      <c r="N4" s="107"/>
      <c r="O4" s="107"/>
      <c r="P4" s="105"/>
    </row>
    <row r="5" spans="1:22" ht="16.149999999999999" customHeight="1" x14ac:dyDescent="0.25">
      <c r="A5" s="104"/>
      <c r="B5" s="148"/>
      <c r="C5" s="103"/>
      <c r="D5" s="287" t="s">
        <v>313</v>
      </c>
      <c r="E5" s="287" t="s">
        <v>312</v>
      </c>
      <c r="F5" s="287" t="s">
        <v>311</v>
      </c>
    </row>
    <row r="6" spans="1:22" ht="16.5" customHeight="1" x14ac:dyDescent="0.25">
      <c r="A6" s="321" t="s">
        <v>3</v>
      </c>
      <c r="B6" s="321"/>
      <c r="C6" s="321"/>
      <c r="D6" s="249"/>
      <c r="E6" s="249"/>
      <c r="F6" s="249"/>
      <c r="G6" s="322" t="s">
        <v>4</v>
      </c>
      <c r="H6" s="321" t="s">
        <v>5</v>
      </c>
      <c r="I6" s="321"/>
      <c r="J6" s="321"/>
      <c r="K6" s="321"/>
      <c r="L6" s="321"/>
      <c r="M6" s="321"/>
      <c r="N6" s="321"/>
      <c r="O6" s="321"/>
      <c r="P6" s="321"/>
      <c r="Q6" s="321"/>
      <c r="R6" s="323" t="s">
        <v>242</v>
      </c>
      <c r="S6" s="324"/>
    </row>
    <row r="7" spans="1:22" x14ac:dyDescent="0.25">
      <c r="A7" s="321"/>
      <c r="B7" s="321"/>
      <c r="C7" s="321"/>
      <c r="D7" s="249"/>
      <c r="E7" s="249"/>
      <c r="F7" s="249"/>
      <c r="G7" s="322"/>
      <c r="H7" s="329" t="s">
        <v>7</v>
      </c>
      <c r="I7" s="330"/>
      <c r="J7" s="330"/>
      <c r="K7" s="331"/>
      <c r="L7" s="247"/>
      <c r="M7" s="321" t="s">
        <v>8</v>
      </c>
      <c r="N7" s="321"/>
      <c r="O7" s="321"/>
      <c r="P7" s="321"/>
      <c r="Q7" s="321"/>
      <c r="R7" s="325"/>
      <c r="S7" s="326"/>
    </row>
    <row r="8" spans="1:22" s="112" customFormat="1" ht="31.5" x14ac:dyDescent="0.25">
      <c r="A8" s="321"/>
      <c r="B8" s="321"/>
      <c r="C8" s="321"/>
      <c r="D8" s="249"/>
      <c r="E8" s="249"/>
      <c r="F8" s="249"/>
      <c r="G8" s="322"/>
      <c r="H8" s="111" t="s">
        <v>9</v>
      </c>
      <c r="I8" s="111" t="s">
        <v>10</v>
      </c>
      <c r="J8" s="111" t="s">
        <v>11</v>
      </c>
      <c r="K8" s="201" t="s">
        <v>12</v>
      </c>
      <c r="L8" s="201"/>
      <c r="M8" s="111" t="s">
        <v>9</v>
      </c>
      <c r="N8" s="111" t="s">
        <v>10</v>
      </c>
      <c r="O8" s="111" t="s">
        <v>11</v>
      </c>
      <c r="P8" s="111" t="s">
        <v>13</v>
      </c>
      <c r="Q8" s="111" t="s">
        <v>14</v>
      </c>
      <c r="R8" s="327"/>
      <c r="S8" s="328"/>
    </row>
    <row r="9" spans="1:22" ht="33" customHeight="1" x14ac:dyDescent="0.25">
      <c r="A9" s="332" t="s">
        <v>235</v>
      </c>
      <c r="B9" s="333"/>
      <c r="C9" s="334"/>
      <c r="D9" s="250"/>
      <c r="E9" s="250"/>
      <c r="F9" s="250"/>
      <c r="G9" s="113">
        <v>1632911107.6799994</v>
      </c>
      <c r="H9" s="114"/>
      <c r="I9" s="115"/>
      <c r="J9" s="115"/>
      <c r="K9" s="202"/>
      <c r="L9" s="225"/>
      <c r="M9" s="115"/>
      <c r="N9" s="115"/>
      <c r="O9" s="115"/>
      <c r="P9" s="115"/>
      <c r="Q9" s="115"/>
      <c r="R9" s="115"/>
      <c r="S9" s="115"/>
    </row>
    <row r="10" spans="1:22" x14ac:dyDescent="0.25">
      <c r="A10" s="116"/>
      <c r="B10" s="197"/>
      <c r="C10" s="117"/>
      <c r="D10" s="117"/>
      <c r="E10" s="117"/>
      <c r="F10" s="117"/>
      <c r="G10" s="118"/>
      <c r="H10" s="114"/>
      <c r="I10" s="115"/>
      <c r="J10" s="115"/>
      <c r="K10" s="202"/>
      <c r="L10" s="225"/>
      <c r="M10" s="118"/>
      <c r="N10" s="118"/>
      <c r="O10" s="118"/>
      <c r="P10" s="118"/>
      <c r="Q10" s="118"/>
      <c r="R10" s="118"/>
      <c r="S10" s="118"/>
      <c r="T10" s="108"/>
      <c r="U10" s="108"/>
      <c r="V10" s="108"/>
    </row>
    <row r="11" spans="1:22" s="104" customFormat="1" ht="15" customHeight="1" x14ac:dyDescent="0.25">
      <c r="A11" s="119"/>
      <c r="B11" s="246"/>
      <c r="C11" s="120" t="s">
        <v>16</v>
      </c>
      <c r="D11" s="120"/>
      <c r="E11" s="120"/>
      <c r="F11" s="120"/>
      <c r="G11" s="113">
        <f>SUM(G13:G14)</f>
        <v>0</v>
      </c>
      <c r="H11" s="121"/>
      <c r="I11" s="113">
        <v>0</v>
      </c>
      <c r="J11" s="113">
        <f>SUM(J13:J14)</f>
        <v>0</v>
      </c>
      <c r="K11" s="203">
        <f>+J11</f>
        <v>0</v>
      </c>
      <c r="L11" s="226"/>
      <c r="M11" s="113"/>
      <c r="N11" s="113"/>
      <c r="O11" s="113"/>
      <c r="P11" s="113">
        <f>SUM(P12:P13)</f>
        <v>0</v>
      </c>
      <c r="Q11" s="113">
        <f>SUM(Q13:Q14)</f>
        <v>0</v>
      </c>
      <c r="R11" s="113"/>
      <c r="S11" s="113"/>
      <c r="T11" s="102"/>
      <c r="U11" s="102"/>
      <c r="V11" s="102"/>
    </row>
    <row r="12" spans="1:22" s="127" customFormat="1" ht="15.6" customHeight="1" x14ac:dyDescent="0.25">
      <c r="A12" s="122"/>
      <c r="B12" s="198"/>
      <c r="C12" s="123" t="s">
        <v>17</v>
      </c>
      <c r="D12" s="123"/>
      <c r="E12" s="123"/>
      <c r="F12" s="123"/>
      <c r="G12" s="124"/>
      <c r="H12" s="125"/>
      <c r="I12" s="124"/>
      <c r="J12" s="124"/>
      <c r="K12" s="204"/>
      <c r="L12" s="227"/>
      <c r="M12" s="124"/>
      <c r="N12" s="124"/>
      <c r="O12" s="124"/>
      <c r="P12" s="124"/>
      <c r="Q12" s="124"/>
      <c r="R12" s="124"/>
      <c r="S12" s="124"/>
      <c r="T12" s="126"/>
      <c r="U12" s="126"/>
      <c r="V12" s="126"/>
    </row>
    <row r="13" spans="1:22" ht="15.6" customHeight="1" x14ac:dyDescent="0.25">
      <c r="A13" s="116"/>
      <c r="B13" s="197"/>
      <c r="C13" s="128" t="s">
        <v>18</v>
      </c>
      <c r="D13" s="128"/>
      <c r="E13" s="128"/>
      <c r="F13" s="128"/>
      <c r="G13" s="118"/>
      <c r="H13" s="129" t="s">
        <v>19</v>
      </c>
      <c r="I13" s="118">
        <v>0</v>
      </c>
      <c r="J13" s="118"/>
      <c r="K13" s="202">
        <f>J13</f>
        <v>0</v>
      </c>
      <c r="L13" s="225"/>
      <c r="M13" s="118" t="s">
        <v>20</v>
      </c>
      <c r="N13" s="118"/>
      <c r="O13" s="118"/>
      <c r="P13" s="118">
        <v>0</v>
      </c>
      <c r="Q13" s="118"/>
      <c r="R13" s="118"/>
      <c r="S13" s="118"/>
      <c r="T13" s="108"/>
      <c r="U13" s="108"/>
      <c r="V13" s="108"/>
    </row>
    <row r="14" spans="1:22" ht="15.6" customHeight="1" x14ac:dyDescent="0.25">
      <c r="A14" s="116"/>
      <c r="B14" s="197"/>
      <c r="C14" s="128" t="s">
        <v>21</v>
      </c>
      <c r="D14" s="128"/>
      <c r="E14" s="128"/>
      <c r="F14" s="128"/>
      <c r="G14" s="118"/>
      <c r="H14" s="129" t="s">
        <v>19</v>
      </c>
      <c r="I14" s="118"/>
      <c r="J14" s="118">
        <f>G14</f>
        <v>0</v>
      </c>
      <c r="K14" s="202">
        <f>J14</f>
        <v>0</v>
      </c>
      <c r="L14" s="225"/>
      <c r="M14" s="118" t="s">
        <v>22</v>
      </c>
      <c r="N14" s="118"/>
      <c r="O14" s="118"/>
      <c r="P14" s="118"/>
      <c r="Q14" s="118">
        <f>N14*-1</f>
        <v>0</v>
      </c>
      <c r="R14" s="118"/>
      <c r="S14" s="118"/>
      <c r="T14" s="108"/>
      <c r="U14" s="108"/>
      <c r="V14" s="108"/>
    </row>
    <row r="15" spans="1:22" s="104" customFormat="1" x14ac:dyDescent="0.25">
      <c r="A15" s="130"/>
      <c r="B15" s="246" t="s">
        <v>23</v>
      </c>
      <c r="C15" s="131"/>
      <c r="D15" s="131"/>
      <c r="E15" s="131"/>
      <c r="F15" s="131"/>
      <c r="G15" s="113">
        <f>SUM(G17:G104)</f>
        <v>-988783020.46898687</v>
      </c>
      <c r="H15" s="121"/>
      <c r="I15" s="113">
        <f>SUM(I17:I102)</f>
        <v>993078319.85898697</v>
      </c>
      <c r="J15" s="113">
        <f>SUM(J17:J102)</f>
        <v>2955545.67</v>
      </c>
      <c r="K15" s="203">
        <f>SUM(K17:K103)</f>
        <v>-990499082.26898694</v>
      </c>
      <c r="L15" s="226"/>
      <c r="M15" s="113"/>
      <c r="N15" s="113">
        <f>SUM(N17:N104)</f>
        <v>3570941.99</v>
      </c>
      <c r="O15" s="113">
        <f>SUM(O17:O104)</f>
        <v>992432084.75898695</v>
      </c>
      <c r="P15" s="113">
        <f>SUM(P17:P103)</f>
        <v>-957458331.14898705</v>
      </c>
      <c r="Q15" s="113">
        <f>SUM(Q17:Q104)</f>
        <v>31324689.32</v>
      </c>
      <c r="R15" s="113"/>
      <c r="S15" s="113"/>
      <c r="T15" s="102"/>
      <c r="U15" s="102"/>
      <c r="V15" s="102"/>
    </row>
    <row r="16" spans="1:22" s="127" customFormat="1" ht="31.5" x14ac:dyDescent="0.25">
      <c r="A16" s="122"/>
      <c r="B16" s="198" t="s">
        <v>238</v>
      </c>
      <c r="C16" s="123" t="s">
        <v>24</v>
      </c>
      <c r="D16" s="123"/>
      <c r="E16" s="123"/>
      <c r="F16" s="123"/>
      <c r="G16" s="124"/>
      <c r="H16" s="125"/>
      <c r="I16" s="124"/>
      <c r="J16" s="124"/>
      <c r="K16" s="204"/>
      <c r="L16" s="228"/>
      <c r="M16" s="124"/>
      <c r="N16" s="124"/>
      <c r="O16" s="124"/>
      <c r="P16" s="124"/>
      <c r="Q16" s="124"/>
      <c r="R16" s="124"/>
      <c r="S16" s="124"/>
      <c r="T16" s="126"/>
      <c r="U16" s="126"/>
      <c r="V16" s="126"/>
    </row>
    <row r="17" spans="1:22" ht="31.5" x14ac:dyDescent="0.25">
      <c r="A17" s="116"/>
      <c r="B17" s="197">
        <v>5010102000</v>
      </c>
      <c r="C17" s="128" t="s">
        <v>26</v>
      </c>
      <c r="D17" s="286">
        <f>IFERROR(VLOOKUP(B17,'WORKING PAPER FC1'!$A$19:$B$31,2,FALSE),0)</f>
        <v>0</v>
      </c>
      <c r="E17" s="128"/>
      <c r="F17" s="286">
        <f>IFERROR(VLOOKUP(B17,'WORKING PAPER FC1'!$A$11:$B$12,2,FALSE),0)</f>
        <v>0</v>
      </c>
      <c r="G17" s="118">
        <f>-'[7]ADAdj-APRGOP'!$BX$152-'[7]ADAdj-APRGOP'!$BX$201-'[7]ADAdj-APRGOP'!$BX$202-'[7]ADAdj-APRGOP'!$BX$131-1790.3-6062.08-'[8]ADAdj-APRGOP'!$BX$28-'[8]ADAdj-APRGOP'!$BX$27-'[8]ADAdj-APRGOP'!$BX$17-'[8]ADAdj-APRGOP'!$BX$16-'[8]ADAdj-APRGOP'!$BX$15-'[8]ADAdj-APRGOP'!$BX$14-'[8]ADAdj-APRGOP'!$BX$338-11058.29+2900+9915.55-127957.25+2900-35381.58-88864.29</f>
        <v>-312617.70999999996</v>
      </c>
      <c r="H17" s="128" t="s">
        <v>26</v>
      </c>
      <c r="I17" s="118">
        <f t="shared" ref="I17:I22" si="0">G17*-1</f>
        <v>312617.70999999996</v>
      </c>
      <c r="J17" s="118"/>
      <c r="K17" s="202">
        <f t="shared" ref="K17:K22" si="1">G17</f>
        <v>-312617.70999999996</v>
      </c>
      <c r="L17" s="229">
        <v>2010101000</v>
      </c>
      <c r="M17" s="118" t="s">
        <v>25</v>
      </c>
      <c r="N17" s="118"/>
      <c r="O17" s="118">
        <f>I17</f>
        <v>312617.70999999996</v>
      </c>
      <c r="P17" s="118"/>
      <c r="Q17" s="118">
        <f t="shared" ref="Q17:Q27" si="2">O17</f>
        <v>312617.70999999996</v>
      </c>
      <c r="R17" s="118"/>
      <c r="S17" s="118"/>
      <c r="T17" s="108"/>
      <c r="U17" s="108"/>
      <c r="V17" s="108"/>
    </row>
    <row r="18" spans="1:22" ht="31.5" x14ac:dyDescent="0.25">
      <c r="A18" s="116"/>
      <c r="B18" s="197">
        <v>5010102000</v>
      </c>
      <c r="C18" s="128" t="s">
        <v>26</v>
      </c>
      <c r="D18" s="286">
        <f>IFERROR(VLOOKUP(B18,'WORKING PAPER FC1'!$A$19:$B$31,2,FALSE),0)</f>
        <v>0</v>
      </c>
      <c r="E18" s="128"/>
      <c r="F18" s="286">
        <f>IFERROR(VLOOKUP(B18,'WORKING PAPER FC1'!$A$11:$B$12,2,FALSE),0)</f>
        <v>0</v>
      </c>
      <c r="G18" s="118">
        <f>-'[7]ADAdj-APRGOP'!$BX$153-'[8]ADAdj-APRGOP'!$BX$139-'[8]ADAdj-APRGOP'!$BX$108-'[8]ADAdj-APRGOP'!$BX$41-'[8]ADAdj-APRGOP'!$BX$39-'[8]ADAdj-APRGOP'!$BX$37-'[8]ADAdj-APRGOP'!$BX$35-'[8]ADAdj-APRGOP'!$BX$33-'[8]ADAdj-APRGOP'!$BX$31-'[9]ADAdj-APRGOP'!$O$1017-32587.78</f>
        <v>-204747.09</v>
      </c>
      <c r="H18" s="117" t="s">
        <v>26</v>
      </c>
      <c r="I18" s="118">
        <f t="shared" si="0"/>
        <v>204747.09</v>
      </c>
      <c r="J18" s="118"/>
      <c r="K18" s="202">
        <f t="shared" si="1"/>
        <v>-204747.09</v>
      </c>
      <c r="L18" s="229">
        <v>2020102001</v>
      </c>
      <c r="M18" s="118" t="s">
        <v>293</v>
      </c>
      <c r="N18" s="118"/>
      <c r="O18" s="118">
        <f t="shared" ref="O18:O27" si="3">I18</f>
        <v>204747.09</v>
      </c>
      <c r="P18" s="118"/>
      <c r="Q18" s="118">
        <f t="shared" si="2"/>
        <v>204747.09</v>
      </c>
      <c r="R18" s="118"/>
      <c r="S18" s="118"/>
      <c r="T18" s="108"/>
      <c r="U18" s="108"/>
      <c r="V18" s="108"/>
    </row>
    <row r="19" spans="1:22" ht="31.5" x14ac:dyDescent="0.25">
      <c r="A19" s="116"/>
      <c r="B19" s="197">
        <v>5010102000</v>
      </c>
      <c r="C19" s="128" t="s">
        <v>26</v>
      </c>
      <c r="D19" s="286">
        <f>IFERROR(VLOOKUP(B19,'WORKING PAPER FC1'!$A$19:$B$31,2,FALSE),0)</f>
        <v>0</v>
      </c>
      <c r="E19" s="128"/>
      <c r="F19" s="286">
        <f>IFERROR(VLOOKUP(B19,'WORKING PAPER FC1'!$A$11:$B$12,2,FALSE),0)</f>
        <v>0</v>
      </c>
      <c r="G19" s="118">
        <f>-'[10]JANUARY 2023'!$EL$442-'[10]JANUARY 2023'!$EL$444-'[10]JANUARY 2023'!$EL$446-'[10]JANUARY 2023'!$EL$448-'[10]JANUARY 2023'!$EL$450-'[11]FEBRUARY 2023 SORT REV'!$EL$786-'[11]FEBRUARY 2023 SORT REV'!$EL$784</f>
        <v>-4379.1400000000003</v>
      </c>
      <c r="H19" s="117" t="s">
        <v>26</v>
      </c>
      <c r="I19" s="118">
        <f t="shared" si="0"/>
        <v>4379.1400000000003</v>
      </c>
      <c r="J19" s="118"/>
      <c r="K19" s="202">
        <f t="shared" si="1"/>
        <v>-4379.1400000000003</v>
      </c>
      <c r="L19" s="229">
        <v>2020104000</v>
      </c>
      <c r="M19" s="118" t="s">
        <v>237</v>
      </c>
      <c r="N19" s="118"/>
      <c r="O19" s="118">
        <f t="shared" si="3"/>
        <v>4379.1400000000003</v>
      </c>
      <c r="P19" s="118"/>
      <c r="Q19" s="118">
        <f t="shared" si="2"/>
        <v>4379.1400000000003</v>
      </c>
      <c r="R19" s="118"/>
      <c r="S19" s="118"/>
      <c r="T19" s="108"/>
      <c r="U19" s="108"/>
      <c r="V19" s="108"/>
    </row>
    <row r="20" spans="1:22" ht="31.5" x14ac:dyDescent="0.25">
      <c r="A20" s="116"/>
      <c r="B20" s="197">
        <v>5010102000</v>
      </c>
      <c r="C20" s="128" t="s">
        <v>26</v>
      </c>
      <c r="D20" s="286">
        <f>IFERROR(VLOOKUP(B20,'WORKING PAPER FC1'!$A$19:$B$31,2,FALSE),0)</f>
        <v>0</v>
      </c>
      <c r="E20" s="128"/>
      <c r="F20" s="286">
        <f>IFERROR(VLOOKUP(B20,'WORKING PAPER FC1'!$A$11:$B$12,2,FALSE),0)</f>
        <v>0</v>
      </c>
      <c r="G20" s="118">
        <f>-'[8]ADAdj-APRGOP'!$BX$154-'[8]ADAdj-APRGOP'!$BX$156</f>
        <v>-200</v>
      </c>
      <c r="H20" s="128" t="s">
        <v>26</v>
      </c>
      <c r="I20" s="118">
        <f t="shared" si="0"/>
        <v>200</v>
      </c>
      <c r="J20" s="118"/>
      <c r="K20" s="202">
        <f t="shared" si="1"/>
        <v>-200</v>
      </c>
      <c r="L20" s="229">
        <v>2020103001</v>
      </c>
      <c r="M20" s="118" t="s">
        <v>294</v>
      </c>
      <c r="N20" s="118"/>
      <c r="O20" s="118">
        <f t="shared" si="3"/>
        <v>200</v>
      </c>
      <c r="P20" s="118"/>
      <c r="Q20" s="118">
        <f t="shared" si="2"/>
        <v>200</v>
      </c>
      <c r="R20" s="118"/>
      <c r="S20" s="118"/>
      <c r="T20" s="108"/>
      <c r="U20" s="108"/>
      <c r="V20" s="108"/>
    </row>
    <row r="21" spans="1:22" ht="31.5" x14ac:dyDescent="0.25">
      <c r="A21" s="116"/>
      <c r="B21" s="197">
        <v>5010301000</v>
      </c>
      <c r="C21" s="128" t="s">
        <v>27</v>
      </c>
      <c r="D21" s="286">
        <f>IFERROR(VLOOKUP(B21,'WORKING PAPER FC1'!$A$19:$B$31,2,FALSE),0)</f>
        <v>0</v>
      </c>
      <c r="E21" s="128"/>
      <c r="F21" s="286">
        <f>IFERROR(VLOOKUP(B21,'WORKING PAPER FC1'!$A$11:$B$12,2,FALSE),0)</f>
        <v>0</v>
      </c>
      <c r="G21" s="118">
        <f>-14307.07</f>
        <v>-14307.07</v>
      </c>
      <c r="H21" s="128" t="s">
        <v>27</v>
      </c>
      <c r="I21" s="118">
        <f t="shared" si="0"/>
        <v>14307.07</v>
      </c>
      <c r="J21" s="118"/>
      <c r="K21" s="202">
        <f t="shared" si="1"/>
        <v>-14307.07</v>
      </c>
      <c r="L21" s="229">
        <v>2010101000</v>
      </c>
      <c r="M21" s="118" t="s">
        <v>25</v>
      </c>
      <c r="N21" s="118"/>
      <c r="O21" s="118">
        <f t="shared" si="3"/>
        <v>14307.07</v>
      </c>
      <c r="P21" s="118"/>
      <c r="Q21" s="118">
        <f t="shared" si="2"/>
        <v>14307.07</v>
      </c>
      <c r="R21" s="118"/>
      <c r="S21" s="118"/>
      <c r="T21" s="108"/>
      <c r="U21" s="108"/>
      <c r="V21" s="108"/>
    </row>
    <row r="22" spans="1:22" x14ac:dyDescent="0.25">
      <c r="A22" s="116"/>
      <c r="B22" s="197">
        <v>5021601000</v>
      </c>
      <c r="C22" s="128" t="s">
        <v>58</v>
      </c>
      <c r="D22" s="286">
        <f>IFERROR(VLOOKUP(B22,'WORKING PAPER FC1'!$A$19:$B$31,2,FALSE),0)</f>
        <v>0</v>
      </c>
      <c r="E22" s="128"/>
      <c r="F22" s="286">
        <f>IFERROR(VLOOKUP(B22,'WORKING PAPER FC1'!$A$11:$B$12,2,FALSE),0)</f>
        <v>0</v>
      </c>
      <c r="G22" s="118">
        <f>-'[8]ADAdj-APRGOP'!$BX$147</f>
        <v>-4000</v>
      </c>
      <c r="H22" s="128" t="s">
        <v>58</v>
      </c>
      <c r="I22" s="118">
        <f t="shared" si="0"/>
        <v>4000</v>
      </c>
      <c r="J22" s="118"/>
      <c r="K22" s="202">
        <f t="shared" si="1"/>
        <v>-4000</v>
      </c>
      <c r="L22" s="229">
        <v>2010101000</v>
      </c>
      <c r="M22" s="118" t="s">
        <v>25</v>
      </c>
      <c r="N22" s="118"/>
      <c r="O22" s="118">
        <f t="shared" si="3"/>
        <v>4000</v>
      </c>
      <c r="P22" s="118"/>
      <c r="Q22" s="118">
        <f t="shared" si="2"/>
        <v>4000</v>
      </c>
      <c r="R22" s="118"/>
      <c r="S22" s="118"/>
      <c r="T22" s="108"/>
      <c r="U22" s="108"/>
      <c r="V22" s="108"/>
    </row>
    <row r="23" spans="1:22" x14ac:dyDescent="0.25">
      <c r="A23" s="116"/>
      <c r="B23" s="197">
        <v>5020502001</v>
      </c>
      <c r="C23" s="128" t="s">
        <v>80</v>
      </c>
      <c r="D23" s="286">
        <f>IFERROR(VLOOKUP(B23,'WORKING PAPER FC1'!$A$19:$B$31,2,FALSE),0)</f>
        <v>0</v>
      </c>
      <c r="E23" s="128"/>
      <c r="F23" s="286">
        <f>IFERROR(VLOOKUP(B23,'WORKING PAPER FC1'!$A$11:$B$12,2,FALSE),0)</f>
        <v>0</v>
      </c>
      <c r="G23" s="118">
        <f>-'[11]FEBRUARY 2023 SORT REV'!$EL$204-'[11]FEBRUARY 2023 SORT REV'!$EL$205-'[11]FEBRUARY 2023 SORT REV'!$EL$206-'[12]MARCH 2023 arranged per ADA'!$EM$2873+'[12]MARCH 2023 arranged per ADA'!$AV$424-900</f>
        <v>-17992</v>
      </c>
      <c r="H23" s="128" t="s">
        <v>80</v>
      </c>
      <c r="I23" s="118">
        <f t="shared" ref="I23:I35" si="4">G23*-1-J23</f>
        <v>17984</v>
      </c>
      <c r="J23" s="118">
        <f>'[12]MARCH 2023 arranged per ADA'!$AV$424</f>
        <v>8</v>
      </c>
      <c r="K23" s="202">
        <f>-I23-J23</f>
        <v>-17992</v>
      </c>
      <c r="L23" s="229">
        <v>2010101000</v>
      </c>
      <c r="M23" s="118" t="s">
        <v>25</v>
      </c>
      <c r="N23" s="118">
        <f>J23</f>
        <v>8</v>
      </c>
      <c r="O23" s="118">
        <f>I23</f>
        <v>17984</v>
      </c>
      <c r="P23" s="118"/>
      <c r="Q23" s="118">
        <f>N23+O23</f>
        <v>17992</v>
      </c>
      <c r="R23" s="118"/>
      <c r="S23" s="118"/>
      <c r="T23" s="108"/>
      <c r="U23" s="108"/>
      <c r="V23" s="108"/>
    </row>
    <row r="24" spans="1:22" x14ac:dyDescent="0.25">
      <c r="A24" s="116"/>
      <c r="B24" s="197">
        <v>5020101000</v>
      </c>
      <c r="C24" s="128" t="s">
        <v>28</v>
      </c>
      <c r="D24" s="286">
        <f>IFERROR(VLOOKUP(B24,'WORKING PAPER FC1'!$A$19:$B$31,2,FALSE),0)</f>
        <v>0</v>
      </c>
      <c r="E24" s="128"/>
      <c r="F24" s="286">
        <f>IFERROR(VLOOKUP(B24,'WORKING PAPER FC1'!$A$11:$B$12,2,FALSE),0)</f>
        <v>0</v>
      </c>
      <c r="G24" s="118">
        <f>-'[11]FEBRUARY 2023 SORT REV'!$EL$610-'[11]FEBRUARY 2023 SORT REV'!$EL$602-'[11]FEBRUARY 2023 SORT REV'!$EL$624-'[11]FEBRUARY 2023 SORT REV'!$EL$203-'[8]ADAdj-APRGOP'!$BX$48-'[8]ADAdj-APRGOP'!$BX$54-'[8]ADAdj-APRGOP'!$BX$57-'[8]ADAdj-APRGOP'!$BX$65-'[8]ADAdj-APRGOP'!$BX$271-'[8]ADAdj-APRGOP'!$BX$272-'[12]MARCH 2023 arranged per ADA'!$EM$2865-'[12]MARCH 2023 arranged per ADA'!$EM$2874+'[12]MARCH 2023 arranged per ADA'!$AV$1518-'[9]ADAdj-APRGOP'!$O$1018+'[9]ADAdj-APRGOP'!$O$1031-385200-16066+6156-18022</f>
        <v>-1254313</v>
      </c>
      <c r="H24" s="117" t="s">
        <v>28</v>
      </c>
      <c r="I24" s="118">
        <f t="shared" si="4"/>
        <v>1151414</v>
      </c>
      <c r="J24" s="118">
        <f>'[12]MARCH 2023 arranged per ADA'!$AV$1518+'[9]ADAdj-APRGOP'!$O$1031</f>
        <v>102899</v>
      </c>
      <c r="K24" s="202">
        <f>-I24-J24</f>
        <v>-1254313</v>
      </c>
      <c r="L24" s="229">
        <v>2010101000</v>
      </c>
      <c r="M24" s="118" t="s">
        <v>25</v>
      </c>
      <c r="N24" s="118">
        <f>J24</f>
        <v>102899</v>
      </c>
      <c r="O24" s="118">
        <f>I24</f>
        <v>1151414</v>
      </c>
      <c r="P24" s="118"/>
      <c r="Q24" s="118">
        <f>N24+O24</f>
        <v>1254313</v>
      </c>
      <c r="R24" s="118"/>
      <c r="S24" s="118"/>
      <c r="T24" s="108"/>
      <c r="U24" s="108"/>
      <c r="V24" s="108"/>
    </row>
    <row r="25" spans="1:22" x14ac:dyDescent="0.25">
      <c r="A25" s="116"/>
      <c r="B25" s="197">
        <v>5020201002</v>
      </c>
      <c r="C25" s="128" t="s">
        <v>29</v>
      </c>
      <c r="D25" s="286">
        <f>IFERROR(VLOOKUP(B25,'WORKING PAPER FC1'!$A$19:$B$31,2,FALSE),0)</f>
        <v>0</v>
      </c>
      <c r="E25" s="128"/>
      <c r="F25" s="286">
        <f>IFERROR(VLOOKUP(B25,'WORKING PAPER FC1'!$A$11:$B$12,2,FALSE),0)</f>
        <v>-936200</v>
      </c>
      <c r="G25" s="118">
        <f>-'[11]FEBRUARY 2023 SORT REV'!$EL$74-'[11]FEBRUARY 2023 SORT REV'!$EL$75-'[11]FEBRUARY 2023 SORT REV'!$EL$504-'[11]FEBRUARY 2023 SORT REV'!$EL$505-'[12]MARCH 2023 arranged per ADA'!$EM$2866-'[9]ADAdj-APRGOP'!$O$1019-84417-943930-898350-847989.57-273250+F25+'WORKING PAPER FC1'!L16+'WORKING PAPER FC1'!U9</f>
        <v>-7624241.2000000002</v>
      </c>
      <c r="H25" s="117" t="s">
        <v>29</v>
      </c>
      <c r="I25" s="118">
        <f t="shared" si="4"/>
        <v>7624241.2000000002</v>
      </c>
      <c r="J25" s="118"/>
      <c r="K25" s="202">
        <f t="shared" ref="K25:K36" si="5">G25</f>
        <v>-7624241.2000000002</v>
      </c>
      <c r="L25" s="229">
        <v>2010101000</v>
      </c>
      <c r="M25" s="118" t="s">
        <v>25</v>
      </c>
      <c r="N25" s="118"/>
      <c r="O25" s="118">
        <f t="shared" si="3"/>
        <v>7624241.2000000002</v>
      </c>
      <c r="P25" s="118"/>
      <c r="Q25" s="118">
        <f t="shared" si="2"/>
        <v>7624241.2000000002</v>
      </c>
      <c r="R25" s="118"/>
      <c r="S25" s="118"/>
      <c r="T25" s="108"/>
      <c r="U25" s="108"/>
      <c r="V25" s="108"/>
    </row>
    <row r="26" spans="1:22" x14ac:dyDescent="0.25">
      <c r="A26" s="116"/>
      <c r="B26" s="197">
        <v>5021202000</v>
      </c>
      <c r="C26" s="128" t="s">
        <v>250</v>
      </c>
      <c r="D26" s="286">
        <f>IFERROR(VLOOKUP(B26,'WORKING PAPER FC1'!$A$19:$B$31,2,FALSE),0)</f>
        <v>0</v>
      </c>
      <c r="E26" s="128"/>
      <c r="F26" s="286">
        <f>IFERROR(VLOOKUP(B26,'WORKING PAPER FC1'!$A$11:$B$12,2,FALSE),0)</f>
        <v>0</v>
      </c>
      <c r="G26" s="118">
        <f>-'[12]MARCH 2023 arranged per ADA'!$EM$2876</f>
        <v>-268878.54000000004</v>
      </c>
      <c r="H26" s="128" t="s">
        <v>250</v>
      </c>
      <c r="I26" s="118">
        <f t="shared" si="4"/>
        <v>268878.54000000004</v>
      </c>
      <c r="J26" s="118"/>
      <c r="K26" s="202">
        <f>G26</f>
        <v>-268878.54000000004</v>
      </c>
      <c r="L26" s="229">
        <v>2010101000</v>
      </c>
      <c r="M26" s="118" t="s">
        <v>25</v>
      </c>
      <c r="N26" s="118"/>
      <c r="O26" s="118">
        <f t="shared" si="3"/>
        <v>268878.54000000004</v>
      </c>
      <c r="P26" s="118"/>
      <c r="Q26" s="118">
        <f t="shared" si="2"/>
        <v>268878.54000000004</v>
      </c>
      <c r="R26" s="118"/>
      <c r="S26" s="118"/>
      <c r="T26" s="108"/>
      <c r="U26" s="108"/>
      <c r="V26" s="108"/>
    </row>
    <row r="27" spans="1:22" x14ac:dyDescent="0.25">
      <c r="A27" s="116"/>
      <c r="B27" s="197">
        <v>5021203000</v>
      </c>
      <c r="C27" s="128" t="s">
        <v>52</v>
      </c>
      <c r="D27" s="286">
        <f>IFERROR(VLOOKUP(B27,'WORKING PAPER FC1'!$A$19:$B$31,2,FALSE),0)</f>
        <v>0</v>
      </c>
      <c r="E27" s="128"/>
      <c r="F27" s="286">
        <f>IFERROR(VLOOKUP(B27,'WORKING PAPER FC1'!$A$11:$B$12,2,FALSE),0)</f>
        <v>0</v>
      </c>
      <c r="G27" s="118">
        <f>-'[12]MARCH 2023 arranged per ADA'!$EM$2877</f>
        <v>-620623.19999999995</v>
      </c>
      <c r="H27" s="128" t="s">
        <v>52</v>
      </c>
      <c r="I27" s="118">
        <f t="shared" si="4"/>
        <v>620623.19999999995</v>
      </c>
      <c r="J27" s="118"/>
      <c r="K27" s="202">
        <f t="shared" si="5"/>
        <v>-620623.19999999995</v>
      </c>
      <c r="L27" s="229">
        <v>2010101000</v>
      </c>
      <c r="M27" s="118" t="s">
        <v>25</v>
      </c>
      <c r="N27" s="118"/>
      <c r="O27" s="118">
        <f t="shared" si="3"/>
        <v>620623.19999999995</v>
      </c>
      <c r="P27" s="118"/>
      <c r="Q27" s="118">
        <f t="shared" si="2"/>
        <v>620623.19999999995</v>
      </c>
      <c r="R27" s="118"/>
      <c r="S27" s="118"/>
      <c r="T27" s="108"/>
      <c r="U27" s="108"/>
      <c r="V27" s="108"/>
    </row>
    <row r="28" spans="1:22" x14ac:dyDescent="0.25">
      <c r="A28" s="116"/>
      <c r="B28" s="197">
        <v>5021499000</v>
      </c>
      <c r="C28" s="128" t="s">
        <v>34</v>
      </c>
      <c r="D28" s="286">
        <f>IFERROR(VLOOKUP(B28,'WORKING PAPER FC1'!$A$19:$B$31,2,FALSE),0)</f>
        <v>0</v>
      </c>
      <c r="E28" s="128"/>
      <c r="F28" s="286">
        <v>0</v>
      </c>
      <c r="G28" s="118">
        <f>-'[11]FEBRUARY 2023 SORT REV'!$EL$796-'[11]FEBRUARY 2023 SORT REV'!$EL$797-150000+3200</f>
        <v>-154000</v>
      </c>
      <c r="H28" s="128" t="s">
        <v>34</v>
      </c>
      <c r="I28" s="118">
        <f t="shared" si="4"/>
        <v>154000</v>
      </c>
      <c r="J28" s="118"/>
      <c r="K28" s="202">
        <f t="shared" si="5"/>
        <v>-154000</v>
      </c>
      <c r="L28" s="229">
        <v>2020104000</v>
      </c>
      <c r="M28" s="128" t="s">
        <v>237</v>
      </c>
      <c r="N28" s="118"/>
      <c r="O28" s="118">
        <f t="shared" ref="O28:O36" si="6">I28</f>
        <v>154000</v>
      </c>
      <c r="P28" s="118"/>
      <c r="Q28" s="118">
        <f>O28</f>
        <v>154000</v>
      </c>
      <c r="R28" s="118"/>
      <c r="S28" s="118"/>
      <c r="T28" s="108"/>
      <c r="U28" s="108"/>
      <c r="V28" s="108"/>
    </row>
    <row r="29" spans="1:22" x14ac:dyDescent="0.25">
      <c r="A29" s="116"/>
      <c r="B29" s="197">
        <v>5020501000</v>
      </c>
      <c r="C29" s="128" t="s">
        <v>240</v>
      </c>
      <c r="D29" s="286">
        <f>IFERROR(VLOOKUP(B29,'WORKING PAPER FC1'!$A$19:$B$31,2,FALSE),0)</f>
        <v>0</v>
      </c>
      <c r="E29" s="128"/>
      <c r="F29" s="286">
        <f>IFERROR(VLOOKUP(B29,'WORKING PAPER FC1'!$A$11:$B$12,2,FALSE),0)</f>
        <v>0</v>
      </c>
      <c r="G29" s="118">
        <f>-'[10]JANUARY 2023'!$EL$599</f>
        <v>-7297</v>
      </c>
      <c r="H29" s="128" t="s">
        <v>240</v>
      </c>
      <c r="I29" s="118">
        <f t="shared" si="4"/>
        <v>7297</v>
      </c>
      <c r="J29" s="118"/>
      <c r="K29" s="202">
        <f>G29</f>
        <v>-7297</v>
      </c>
      <c r="L29" s="229">
        <v>1010102000</v>
      </c>
      <c r="M29" s="118" t="s">
        <v>93</v>
      </c>
      <c r="N29" s="118"/>
      <c r="O29" s="118">
        <f t="shared" si="6"/>
        <v>7297</v>
      </c>
      <c r="P29" s="118">
        <f>O29*-1</f>
        <v>-7297</v>
      </c>
      <c r="Q29" s="118"/>
      <c r="R29" s="118"/>
      <c r="S29" s="118"/>
      <c r="T29" s="108"/>
      <c r="U29" s="108"/>
      <c r="V29" s="108"/>
    </row>
    <row r="30" spans="1:22" ht="31.5" x14ac:dyDescent="0.25">
      <c r="A30" s="116"/>
      <c r="B30" s="197">
        <v>5020399000</v>
      </c>
      <c r="C30" s="128" t="s">
        <v>33</v>
      </c>
      <c r="D30" s="286"/>
      <c r="E30" s="128"/>
      <c r="F30" s="286">
        <f>IFERROR(VLOOKUP(B30,'WORKING PAPER FC1'!$A$11:$B$12,2,FALSE),0)</f>
        <v>0</v>
      </c>
      <c r="G30" s="118">
        <f>-'[10]JANUARY 2023'!$EL$590-'[10]JANUARY 2023'!$EL$600-'[11]FEBRUARY 2023 SORT REV'!$EL$745-14236.5</f>
        <v>-43686.94</v>
      </c>
      <c r="H30" s="128" t="s">
        <v>33</v>
      </c>
      <c r="I30" s="118">
        <f t="shared" si="4"/>
        <v>43686.94</v>
      </c>
      <c r="J30" s="118"/>
      <c r="K30" s="202">
        <f>G30</f>
        <v>-43686.94</v>
      </c>
      <c r="L30" s="229">
        <v>1010102000</v>
      </c>
      <c r="M30" s="118" t="s">
        <v>93</v>
      </c>
      <c r="N30" s="118"/>
      <c r="O30" s="118">
        <f t="shared" si="6"/>
        <v>43686.94</v>
      </c>
      <c r="P30" s="118">
        <f>O30*-1</f>
        <v>-43686.94</v>
      </c>
      <c r="Q30" s="118"/>
      <c r="R30" s="118"/>
      <c r="S30" s="118"/>
      <c r="T30" s="108"/>
      <c r="U30" s="108"/>
      <c r="V30" s="108"/>
    </row>
    <row r="31" spans="1:22" ht="31.5" x14ac:dyDescent="0.25">
      <c r="A31" s="116"/>
      <c r="B31" s="197">
        <v>5020399000</v>
      </c>
      <c r="C31" s="128" t="s">
        <v>33</v>
      </c>
      <c r="D31" s="286"/>
      <c r="E31" s="128"/>
      <c r="F31" s="286">
        <f>IFERROR(VLOOKUP(B31,'WORKING PAPER FC1'!$A$11:$B$12,2,FALSE),0)</f>
        <v>0</v>
      </c>
      <c r="G31" s="118">
        <f>-'[12]MARCH 2023 arranged per ADA'!$EM$2872-'[9]ADAdj-APRGOP'!$O$1022+'WORKING PAPER FC1'!L23</f>
        <v>-174117.05</v>
      </c>
      <c r="H31" s="128" t="s">
        <v>33</v>
      </c>
      <c r="I31" s="118">
        <f t="shared" si="4"/>
        <v>174117.05</v>
      </c>
      <c r="J31" s="118"/>
      <c r="K31" s="202">
        <f>G31</f>
        <v>-174117.05</v>
      </c>
      <c r="L31" s="229">
        <v>2010101000</v>
      </c>
      <c r="M31" s="118" t="s">
        <v>25</v>
      </c>
      <c r="N31" s="118"/>
      <c r="O31" s="118">
        <f>I31</f>
        <v>174117.05</v>
      </c>
      <c r="P31" s="118"/>
      <c r="Q31" s="118">
        <f>O31</f>
        <v>174117.05</v>
      </c>
      <c r="R31" s="118"/>
      <c r="S31" s="118"/>
      <c r="T31" s="108"/>
      <c r="U31" s="108"/>
      <c r="V31" s="108"/>
    </row>
    <row r="32" spans="1:22" x14ac:dyDescent="0.25">
      <c r="A32" s="116"/>
      <c r="B32" s="197">
        <v>5020301002</v>
      </c>
      <c r="C32" s="128" t="s">
        <v>30</v>
      </c>
      <c r="D32" s="286">
        <f>IFERROR(VLOOKUP(B32,'WORKING PAPER FC1'!$A$19:$B$31,2,FALSE),0)</f>
        <v>-7779.81</v>
      </c>
      <c r="E32" s="128"/>
      <c r="F32" s="286">
        <f>IFERROR(VLOOKUP(B32,'WORKING PAPER FC1'!$A$11:$B$12,2,FALSE),0)</f>
        <v>0</v>
      </c>
      <c r="G32" s="118">
        <f>-'[12]MARCH 2023 arranged per ADA'!$EM$2867+'[12]MARCH 2023 arranged per ADA'!$AV$258+'[12]MARCH 2023 arranged per ADA'!$AV$282-'[9]ADAdj-APRGOP'!$O$1020-5000-192147.95-1970-6250</f>
        <v>-540789.21</v>
      </c>
      <c r="H32" s="128" t="s">
        <v>30</v>
      </c>
      <c r="I32" s="118">
        <f t="shared" si="4"/>
        <v>539768.47</v>
      </c>
      <c r="J32" s="118">
        <f>'[12]MARCH 2023 arranged per ADA'!$AV$282+'[12]MARCH 2023 arranged per ADA'!$AV$258</f>
        <v>1020.74</v>
      </c>
      <c r="K32" s="202">
        <f>-I32-J32</f>
        <v>-540789.21</v>
      </c>
      <c r="L32" s="229">
        <v>2010101000</v>
      </c>
      <c r="M32" s="118" t="s">
        <v>25</v>
      </c>
      <c r="N32" s="118">
        <f>J32</f>
        <v>1020.74</v>
      </c>
      <c r="O32" s="118">
        <f>I32</f>
        <v>539768.47</v>
      </c>
      <c r="P32" s="118"/>
      <c r="Q32" s="118">
        <f>N32+O32</f>
        <v>540789.21</v>
      </c>
      <c r="R32" s="118"/>
      <c r="S32" s="118"/>
      <c r="T32" s="108"/>
      <c r="U32" s="108"/>
      <c r="V32" s="108"/>
    </row>
    <row r="33" spans="1:22" x14ac:dyDescent="0.25">
      <c r="A33" s="116"/>
      <c r="B33" s="197">
        <v>5020301002</v>
      </c>
      <c r="C33" s="128" t="s">
        <v>30</v>
      </c>
      <c r="D33" s="286"/>
      <c r="E33" s="128"/>
      <c r="F33" s="286"/>
      <c r="G33" s="118">
        <v>0</v>
      </c>
      <c r="H33" s="128" t="s">
        <v>30</v>
      </c>
      <c r="I33" s="118">
        <f t="shared" si="4"/>
        <v>0</v>
      </c>
      <c r="J33" s="118"/>
      <c r="K33" s="202">
        <f>-I33-J33</f>
        <v>0</v>
      </c>
      <c r="L33" s="229">
        <v>1040401000</v>
      </c>
      <c r="M33" s="118" t="s">
        <v>337</v>
      </c>
      <c r="N33" s="118"/>
      <c r="O33" s="118">
        <f>I33</f>
        <v>0</v>
      </c>
      <c r="P33" s="118">
        <f>O33*-1</f>
        <v>0</v>
      </c>
      <c r="Q33" s="118"/>
      <c r="R33" s="118"/>
      <c r="S33" s="118"/>
      <c r="T33" s="108"/>
      <c r="U33" s="108"/>
      <c r="V33" s="108"/>
    </row>
    <row r="34" spans="1:22" s="282" customFormat="1" ht="31.5" x14ac:dyDescent="0.25">
      <c r="A34" s="273"/>
      <c r="B34" s="274">
        <v>5020399000</v>
      </c>
      <c r="C34" s="275" t="s">
        <v>299</v>
      </c>
      <c r="D34" s="286">
        <f>IFERROR(VLOOKUP(B34,'WORKING PAPER FC1'!$A$19:$B$31,2,FALSE),0)</f>
        <v>-38976490.210000001</v>
      </c>
      <c r="E34" s="275"/>
      <c r="F34" s="286">
        <f>IFERROR(VLOOKUP(B34,'WORKING PAPER FC1'!$A$11:$B$12,2,FALSE),0)</f>
        <v>0</v>
      </c>
      <c r="G34" s="276">
        <f>-54307611.06-'[13]JEV-GJ.'!$H$607-33118735.6+'[12]MARCH 2023 arranged per ADA'!$AV$447-[14]April!$G$259-[15]April!$G$463+D34+'WORKING PAPER FC1'!L19+'WORKING PAPER FC1'!U12</f>
        <v>-296538379.03000003</v>
      </c>
      <c r="H34" s="275" t="s">
        <v>299</v>
      </c>
      <c r="I34" s="276">
        <f t="shared" si="4"/>
        <v>296538379.01000005</v>
      </c>
      <c r="J34" s="276">
        <f>'[12]MARCH 2023 arranged per ADA'!$AV$447</f>
        <v>0.02</v>
      </c>
      <c r="K34" s="277">
        <f>-I34-J34</f>
        <v>-296538379.03000003</v>
      </c>
      <c r="L34" s="278">
        <v>1040299000</v>
      </c>
      <c r="M34" s="276" t="s">
        <v>35</v>
      </c>
      <c r="N34" s="276">
        <f>J34</f>
        <v>0.02</v>
      </c>
      <c r="O34" s="276">
        <f>I34</f>
        <v>296538379.01000005</v>
      </c>
      <c r="P34" s="276">
        <f>(N34+O34)*-1</f>
        <v>-296538379.03000003</v>
      </c>
      <c r="Q34" s="276"/>
      <c r="R34" s="276"/>
      <c r="S34" s="276"/>
      <c r="T34" s="279"/>
      <c r="U34" s="280"/>
      <c r="V34" s="281"/>
    </row>
    <row r="35" spans="1:22" s="282" customFormat="1" x14ac:dyDescent="0.25">
      <c r="A35" s="273"/>
      <c r="B35" s="274">
        <v>5020306000</v>
      </c>
      <c r="C35" s="275" t="s">
        <v>258</v>
      </c>
      <c r="D35" s="286">
        <f>IFERROR(VLOOKUP(B35,'WORKING PAPER FC1'!$A$19:$B$31,2,FALSE),0)</f>
        <v>-23115497.030000001</v>
      </c>
      <c r="E35" s="275"/>
      <c r="F35" s="286">
        <f>IFERROR(VLOOKUP(B35,'WORKING PAPER FC1'!$A$11:$B$12,2,FALSE),0)</f>
        <v>0</v>
      </c>
      <c r="G35" s="276">
        <f>-12695548.74-757035.32-'[16]JEV-GJ.'!$H$11-'[16]JEV-GJ.'!$H$115-6506407.67-22250-48440.94-1389254-1508262-1858149.11-515438.72-1346258.02-78689-322818+580752.5+D35+'WORKING PAPER FC1'!L26+'WORKING PAPER FC1'!U14</f>
        <v>-172117311.30898705</v>
      </c>
      <c r="H35" s="275" t="s">
        <v>258</v>
      </c>
      <c r="I35" s="276">
        <f t="shared" si="4"/>
        <v>172117311.30898705</v>
      </c>
      <c r="J35" s="276"/>
      <c r="K35" s="277">
        <f t="shared" si="5"/>
        <v>-172117311.30898705</v>
      </c>
      <c r="L35" s="278">
        <v>1040202000</v>
      </c>
      <c r="M35" s="276" t="s">
        <v>36</v>
      </c>
      <c r="N35" s="276"/>
      <c r="O35" s="276">
        <f t="shared" si="6"/>
        <v>172117311.30898705</v>
      </c>
      <c r="P35" s="276">
        <f>(N35+O35)*-1</f>
        <v>-172117311.30898705</v>
      </c>
      <c r="Q35" s="276"/>
      <c r="R35" s="276"/>
      <c r="S35" s="276"/>
      <c r="T35" s="279"/>
      <c r="U35" s="279"/>
      <c r="V35" s="279"/>
    </row>
    <row r="36" spans="1:22" x14ac:dyDescent="0.25">
      <c r="A36" s="116"/>
      <c r="B36" s="197">
        <v>5021499000</v>
      </c>
      <c r="C36" s="128" t="s">
        <v>34</v>
      </c>
      <c r="D36" s="286">
        <f>IFERROR(VLOOKUP(B36,'WORKING PAPER FC1'!$A$19:$B$31,2,FALSE),0)</f>
        <v>0</v>
      </c>
      <c r="E36" s="128"/>
      <c r="F36" s="286">
        <f>IFERROR(VLOOKUP(B36,'WORKING PAPER FC1'!$A$11:$B$12,2,FALSE),0)</f>
        <v>-35548</v>
      </c>
      <c r="G36" s="118">
        <f>-'[11]FEBRUARY 2023 SORT REV'!$EL$686-'[11]FEBRUARY 2023 SORT REV'!$EL$687-'[11]FEBRUARY 2023 SORT REV'!$EL$718-'[12]MARCH 2023 arranged per ADA'!$EM$2880-5000-1010000-1235000+F36+'WORKING PAPER FC1'!L13</f>
        <v>-9086204.4000000004</v>
      </c>
      <c r="H36" s="128" t="s">
        <v>34</v>
      </c>
      <c r="I36" s="118">
        <f t="shared" ref="I36:I80" si="7">G36*-1-J36</f>
        <v>9086204.4000000004</v>
      </c>
      <c r="J36" s="118"/>
      <c r="K36" s="202">
        <f t="shared" si="5"/>
        <v>-9086204.4000000004</v>
      </c>
      <c r="L36" s="229">
        <v>2010101000</v>
      </c>
      <c r="M36" s="118" t="s">
        <v>25</v>
      </c>
      <c r="N36" s="118"/>
      <c r="O36" s="118">
        <f t="shared" si="6"/>
        <v>9086204.4000000004</v>
      </c>
      <c r="P36" s="118"/>
      <c r="Q36" s="118">
        <f t="shared" ref="Q36:Q44" si="8">O36</f>
        <v>9086204.4000000004</v>
      </c>
      <c r="R36" s="118"/>
      <c r="S36" s="118"/>
      <c r="T36" s="108"/>
      <c r="U36" s="108"/>
      <c r="V36" s="108"/>
    </row>
    <row r="37" spans="1:22" x14ac:dyDescent="0.25">
      <c r="A37" s="116"/>
      <c r="B37" s="197">
        <v>5021503000</v>
      </c>
      <c r="C37" s="128" t="s">
        <v>41</v>
      </c>
      <c r="D37" s="286">
        <f>IFERROR(VLOOKUP(B37,'WORKING PAPER FC1'!$A$19:$B$31,2,FALSE),0)</f>
        <v>0</v>
      </c>
      <c r="E37" s="128"/>
      <c r="F37" s="286">
        <f>IFERROR(VLOOKUP(B37,'WORKING PAPER FC1'!$A$11:$B$12,2,FALSE),0)</f>
        <v>0</v>
      </c>
      <c r="G37" s="118">
        <v>-17253.64</v>
      </c>
      <c r="H37" s="128" t="s">
        <v>41</v>
      </c>
      <c r="I37" s="118">
        <f t="shared" si="7"/>
        <v>17253.64</v>
      </c>
      <c r="J37" s="118"/>
      <c r="K37" s="202">
        <f t="shared" ref="K37:K52" si="9">G37</f>
        <v>-17253.64</v>
      </c>
      <c r="L37" s="229">
        <v>2010101000</v>
      </c>
      <c r="M37" s="118" t="s">
        <v>25</v>
      </c>
      <c r="N37" s="118"/>
      <c r="O37" s="118">
        <f t="shared" ref="O37:O42" si="10">I37</f>
        <v>17253.64</v>
      </c>
      <c r="P37" s="118"/>
      <c r="Q37" s="118">
        <f t="shared" si="8"/>
        <v>17253.64</v>
      </c>
      <c r="R37" s="118"/>
      <c r="S37" s="118"/>
      <c r="T37" s="108"/>
      <c r="U37" s="108"/>
      <c r="V37" s="108"/>
    </row>
    <row r="38" spans="1:22" x14ac:dyDescent="0.25">
      <c r="A38" s="116"/>
      <c r="B38" s="197">
        <v>5020402000</v>
      </c>
      <c r="C38" s="128" t="s">
        <v>40</v>
      </c>
      <c r="D38" s="286">
        <f>IFERROR(VLOOKUP(B38,'WORKING PAPER FC1'!$A$19:$B$31,2,FALSE),0)</f>
        <v>0</v>
      </c>
      <c r="E38" s="128"/>
      <c r="F38" s="286">
        <f>IFERROR(VLOOKUP(B38,'WORKING PAPER FC1'!$A$11:$B$12,2,FALSE),0)</f>
        <v>0</v>
      </c>
      <c r="G38" s="118">
        <f>-39124.6-'[7]ADAdj-APRGOP'!$BX$119-'[7]ADAdj-APRGOP'!$BX$120-'[7]ADAdj-APRGOP'!$BX$121-'[7]ADAdj-APRGOP'!$BX$122-'[7]ADAdj-APRGOP'!$BX$123-'[7]ADAdj-APRGOP'!$BX$136</f>
        <v>-82936.739999999991</v>
      </c>
      <c r="H38" s="117" t="s">
        <v>40</v>
      </c>
      <c r="I38" s="118">
        <f t="shared" si="7"/>
        <v>82936.739999999991</v>
      </c>
      <c r="J38" s="118"/>
      <c r="K38" s="202">
        <f t="shared" si="9"/>
        <v>-82936.739999999991</v>
      </c>
      <c r="L38" s="229">
        <v>2010101000</v>
      </c>
      <c r="M38" s="118" t="s">
        <v>25</v>
      </c>
      <c r="N38" s="118"/>
      <c r="O38" s="118">
        <f t="shared" si="10"/>
        <v>82936.739999999991</v>
      </c>
      <c r="P38" s="118"/>
      <c r="Q38" s="118">
        <f t="shared" si="8"/>
        <v>82936.739999999991</v>
      </c>
      <c r="R38" s="118"/>
      <c r="S38" s="118"/>
      <c r="T38" s="108"/>
      <c r="U38" s="108"/>
      <c r="V38" s="108"/>
    </row>
    <row r="39" spans="1:22" x14ac:dyDescent="0.25">
      <c r="A39" s="116"/>
      <c r="B39" s="197">
        <v>5020602000</v>
      </c>
      <c r="C39" s="128" t="s">
        <v>252</v>
      </c>
      <c r="D39" s="286">
        <f>IFERROR(VLOOKUP(B39,'WORKING PAPER FC1'!$A$19:$B$31,2,FALSE),0)</f>
        <v>0</v>
      </c>
      <c r="E39" s="128"/>
      <c r="F39" s="286">
        <f>IFERROR(VLOOKUP(B39,'WORKING PAPER FC1'!$A$11:$B$12,2,FALSE),0)</f>
        <v>0</v>
      </c>
      <c r="G39" s="118">
        <f>-'[9]ADAdj-APRGOP'!$O$1023</f>
        <v>-24000</v>
      </c>
      <c r="H39" s="128" t="s">
        <v>252</v>
      </c>
      <c r="I39" s="118">
        <f t="shared" si="7"/>
        <v>24000</v>
      </c>
      <c r="J39" s="118"/>
      <c r="K39" s="202">
        <f t="shared" si="9"/>
        <v>-24000</v>
      </c>
      <c r="L39" s="229">
        <v>2010101000</v>
      </c>
      <c r="M39" s="118" t="s">
        <v>25</v>
      </c>
      <c r="N39" s="118"/>
      <c r="O39" s="118">
        <f t="shared" si="10"/>
        <v>24000</v>
      </c>
      <c r="P39" s="118"/>
      <c r="Q39" s="118">
        <f t="shared" si="8"/>
        <v>24000</v>
      </c>
      <c r="R39" s="118"/>
      <c r="S39" s="118"/>
      <c r="T39" s="108"/>
      <c r="U39" s="108"/>
      <c r="V39" s="108"/>
    </row>
    <row r="40" spans="1:22" x14ac:dyDescent="0.25">
      <c r="A40" s="116"/>
      <c r="B40" s="197">
        <v>5029903000</v>
      </c>
      <c r="C40" s="128" t="s">
        <v>43</v>
      </c>
      <c r="D40" s="286">
        <f>IFERROR(VLOOKUP(B40,'WORKING PAPER FC1'!$A$19:$B$31,2,FALSE),0)</f>
        <v>0</v>
      </c>
      <c r="E40" s="291">
        <f>'WORKING PAPER FC1'!B14</f>
        <v>-26000</v>
      </c>
      <c r="F40" s="286">
        <f>IFERROR(VLOOKUP(B40,'WORKING PAPER FC1'!$A$11:$B$12,2,FALSE),0)</f>
        <v>0</v>
      </c>
      <c r="G40" s="118">
        <f>-'[12]MARCH 2023 arranged per ADA'!$EM$2882-'[9]ADAdj-APRGOP'!$O$1026-73868.75-505830-369149-147850-15200-96300+E40+'WORKING PAPER FC1'!L12+'WORKING PAPER FC1'!U8</f>
        <v>-1858047.75</v>
      </c>
      <c r="H40" s="117" t="s">
        <v>43</v>
      </c>
      <c r="I40" s="118">
        <f t="shared" si="7"/>
        <v>1858047.75</v>
      </c>
      <c r="J40" s="118"/>
      <c r="K40" s="202">
        <f t="shared" si="9"/>
        <v>-1858047.75</v>
      </c>
      <c r="L40" s="229">
        <v>2010101000</v>
      </c>
      <c r="M40" s="118" t="s">
        <v>25</v>
      </c>
      <c r="N40" s="118"/>
      <c r="O40" s="118">
        <f t="shared" si="10"/>
        <v>1858047.75</v>
      </c>
      <c r="P40" s="118"/>
      <c r="Q40" s="118">
        <f t="shared" si="8"/>
        <v>1858047.75</v>
      </c>
      <c r="R40" s="118"/>
      <c r="S40" s="118"/>
      <c r="T40" s="108"/>
      <c r="U40" s="108"/>
      <c r="V40" s="108"/>
    </row>
    <row r="41" spans="1:22" x14ac:dyDescent="0.25">
      <c r="A41" s="116"/>
      <c r="B41" s="197">
        <v>5020401000</v>
      </c>
      <c r="C41" s="128" t="s">
        <v>39</v>
      </c>
      <c r="D41" s="286">
        <f>IFERROR(VLOOKUP(B41,'WORKING PAPER FC1'!$A$19:$B$31,2,FALSE),0)</f>
        <v>0</v>
      </c>
      <c r="E41" s="128"/>
      <c r="F41" s="286">
        <f>IFERROR(VLOOKUP(B41,'WORKING PAPER FC1'!$A$11:$B$12,2,FALSE),0)</f>
        <v>0</v>
      </c>
      <c r="G41" s="118">
        <f>-'[10]JANUARY 2023'!$EL$598</f>
        <v>-48338.400000000001</v>
      </c>
      <c r="H41" s="128" t="s">
        <v>39</v>
      </c>
      <c r="I41" s="118">
        <f t="shared" si="7"/>
        <v>48338.400000000001</v>
      </c>
      <c r="J41" s="118"/>
      <c r="K41" s="202">
        <f t="shared" si="9"/>
        <v>-48338.400000000001</v>
      </c>
      <c r="L41" s="229">
        <v>2010101000</v>
      </c>
      <c r="M41" s="118" t="s">
        <v>25</v>
      </c>
      <c r="N41" s="118"/>
      <c r="O41" s="118">
        <f t="shared" si="10"/>
        <v>48338.400000000001</v>
      </c>
      <c r="P41" s="118"/>
      <c r="Q41" s="118">
        <f t="shared" si="8"/>
        <v>48338.400000000001</v>
      </c>
      <c r="R41" s="118"/>
      <c r="S41" s="118"/>
      <c r="T41" s="108"/>
      <c r="U41" s="108"/>
      <c r="V41" s="108"/>
    </row>
    <row r="42" spans="1:22" x14ac:dyDescent="0.25">
      <c r="A42" s="116"/>
      <c r="B42" s="197">
        <v>5020301001</v>
      </c>
      <c r="C42" s="128" t="s">
        <v>239</v>
      </c>
      <c r="D42" s="286">
        <f>IFERROR(VLOOKUP(B42,'WORKING PAPER FC1'!$A$19:$B$31,2,FALSE),0)</f>
        <v>0</v>
      </c>
      <c r="E42" s="128"/>
      <c r="F42" s="286">
        <f>IFERROR(VLOOKUP(B42,'WORKING PAPER FC1'!$A$11:$B$12,2,FALSE),0)</f>
        <v>0</v>
      </c>
      <c r="G42" s="118">
        <f>-'[10]JANUARY 2023'!$EL$591-'[10]JANUARY 2023'!$EL$603-'[10]JANUARY 2023'!$EL$604</f>
        <v>-17499.21</v>
      </c>
      <c r="H42" s="128" t="s">
        <v>239</v>
      </c>
      <c r="I42" s="118">
        <f t="shared" si="7"/>
        <v>17499.21</v>
      </c>
      <c r="J42" s="118"/>
      <c r="K42" s="202">
        <f t="shared" si="9"/>
        <v>-17499.21</v>
      </c>
      <c r="L42" s="229">
        <v>2010101000</v>
      </c>
      <c r="M42" s="118" t="s">
        <v>25</v>
      </c>
      <c r="N42" s="118"/>
      <c r="O42" s="118">
        <f t="shared" si="10"/>
        <v>17499.21</v>
      </c>
      <c r="P42" s="118"/>
      <c r="Q42" s="118">
        <f t="shared" si="8"/>
        <v>17499.21</v>
      </c>
      <c r="R42" s="118"/>
      <c r="S42" s="118"/>
      <c r="T42" s="108"/>
      <c r="U42" s="108"/>
      <c r="V42" s="108"/>
    </row>
    <row r="43" spans="1:22" x14ac:dyDescent="0.25">
      <c r="A43" s="116"/>
      <c r="B43" s="197">
        <v>5020305000</v>
      </c>
      <c r="C43" s="128" t="s">
        <v>31</v>
      </c>
      <c r="D43" s="286">
        <f>IFERROR(VLOOKUP(B43,'WORKING PAPER FC1'!$A$19:$B$31,2,FALSE),0)</f>
        <v>-449353.55</v>
      </c>
      <c r="E43" s="128"/>
      <c r="F43" s="286">
        <f>IFERROR(VLOOKUP(B43,'WORKING PAPER FC1'!$A$11:$B$12,2,FALSE),0)</f>
        <v>0</v>
      </c>
      <c r="G43" s="118">
        <f>-'[12]MARCH 2023 arranged per ADA'!$EM$2868+D43</f>
        <v>-1294887.3699999999</v>
      </c>
      <c r="H43" s="128" t="s">
        <v>31</v>
      </c>
      <c r="I43" s="118">
        <f t="shared" si="7"/>
        <v>1294887.3699999999</v>
      </c>
      <c r="J43" s="118"/>
      <c r="K43" s="202">
        <f t="shared" si="9"/>
        <v>-1294887.3699999999</v>
      </c>
      <c r="L43" s="229">
        <v>2010101000</v>
      </c>
      <c r="M43" s="118" t="s">
        <v>25</v>
      </c>
      <c r="N43" s="118"/>
      <c r="O43" s="118">
        <f t="shared" ref="O43:O80" si="11">I43</f>
        <v>1294887.3699999999</v>
      </c>
      <c r="P43" s="118"/>
      <c r="Q43" s="118">
        <f t="shared" si="8"/>
        <v>1294887.3699999999</v>
      </c>
      <c r="R43" s="118"/>
      <c r="S43" s="118"/>
      <c r="T43" s="108"/>
      <c r="U43" s="108"/>
      <c r="V43" s="108"/>
    </row>
    <row r="44" spans="1:22" ht="31.5" x14ac:dyDescent="0.25">
      <c r="A44" s="116"/>
      <c r="B44" s="197">
        <v>5020307000</v>
      </c>
      <c r="C44" s="128" t="s">
        <v>44</v>
      </c>
      <c r="D44" s="286"/>
      <c r="E44" s="128"/>
      <c r="F44" s="286">
        <f>IFERROR(VLOOKUP(B44,'WORKING PAPER FC1'!$A$11:$B$12,2,FALSE),0)</f>
        <v>0</v>
      </c>
      <c r="G44" s="118">
        <f>-'[12]MARCH 2023 arranged per ADA'!$EM$2869</f>
        <v>-449287.84</v>
      </c>
      <c r="H44" s="128" t="s">
        <v>44</v>
      </c>
      <c r="I44" s="118">
        <f t="shared" si="7"/>
        <v>449287.84</v>
      </c>
      <c r="J44" s="118"/>
      <c r="K44" s="202">
        <f t="shared" si="9"/>
        <v>-449287.84</v>
      </c>
      <c r="L44" s="229">
        <v>2010101000</v>
      </c>
      <c r="M44" s="118" t="s">
        <v>25</v>
      </c>
      <c r="N44" s="118"/>
      <c r="O44" s="118">
        <f t="shared" si="11"/>
        <v>449287.84</v>
      </c>
      <c r="P44" s="118"/>
      <c r="Q44" s="118">
        <f t="shared" si="8"/>
        <v>449287.84</v>
      </c>
      <c r="R44" s="118"/>
      <c r="S44" s="118"/>
      <c r="T44" s="108"/>
      <c r="U44" s="108"/>
      <c r="V44" s="108"/>
    </row>
    <row r="45" spans="1:22" ht="31.5" x14ac:dyDescent="0.25">
      <c r="A45" s="116"/>
      <c r="B45" s="197">
        <v>5020307000</v>
      </c>
      <c r="C45" s="128" t="s">
        <v>44</v>
      </c>
      <c r="D45" s="286">
        <f>IFERROR(VLOOKUP(B45,'WORKING PAPER FC1'!$A$19:$B$31,2,FALSE),0)</f>
        <v>-4710000</v>
      </c>
      <c r="E45" s="128"/>
      <c r="F45" s="286"/>
      <c r="G45" s="118">
        <f>-'WORKING PAPER FC1'!D30</f>
        <v>-4710000</v>
      </c>
      <c r="H45" s="128" t="s">
        <v>44</v>
      </c>
      <c r="I45" s="118">
        <f t="shared" si="7"/>
        <v>4710000</v>
      </c>
      <c r="J45" s="118"/>
      <c r="K45" s="202">
        <f t="shared" si="9"/>
        <v>-4710000</v>
      </c>
      <c r="L45" s="229">
        <v>1040406000</v>
      </c>
      <c r="M45" s="195" t="s">
        <v>336</v>
      </c>
      <c r="N45" s="118"/>
      <c r="O45" s="118">
        <f t="shared" si="11"/>
        <v>4710000</v>
      </c>
      <c r="P45" s="118">
        <f>-O45</f>
        <v>-4710000</v>
      </c>
      <c r="Q45" s="118"/>
      <c r="R45" s="118"/>
      <c r="S45" s="118"/>
      <c r="T45" s="108"/>
      <c r="U45" s="108"/>
      <c r="V45" s="108"/>
    </row>
    <row r="46" spans="1:22" x14ac:dyDescent="0.25">
      <c r="A46" s="116"/>
      <c r="B46" s="197">
        <v>5020305000</v>
      </c>
      <c r="C46" s="128" t="s">
        <v>31</v>
      </c>
      <c r="D46" s="286"/>
      <c r="E46" s="128"/>
      <c r="F46" s="286">
        <f>IFERROR(VLOOKUP(B46,'WORKING PAPER FC1'!$A$11:$B$12,2,FALSE),0)</f>
        <v>0</v>
      </c>
      <c r="G46" s="118">
        <f>-'[10]JANUARY 2023'!$EL$227-'[10]JANUARY 2023'!$EL$588</f>
        <v>-20335.93</v>
      </c>
      <c r="H46" s="128" t="s">
        <v>31</v>
      </c>
      <c r="I46" s="118">
        <f t="shared" si="7"/>
        <v>20335.93</v>
      </c>
      <c r="J46" s="118"/>
      <c r="K46" s="202">
        <f t="shared" si="9"/>
        <v>-20335.93</v>
      </c>
      <c r="L46" s="229">
        <v>1010102000</v>
      </c>
      <c r="M46" s="195" t="s">
        <v>93</v>
      </c>
      <c r="N46" s="118"/>
      <c r="O46" s="118">
        <f t="shared" si="11"/>
        <v>20335.93</v>
      </c>
      <c r="P46" s="118">
        <f>-O46</f>
        <v>-20335.93</v>
      </c>
      <c r="Q46" s="118"/>
      <c r="R46" s="118"/>
      <c r="S46" s="118"/>
      <c r="T46" s="108"/>
      <c r="U46" s="108"/>
      <c r="V46" s="108"/>
    </row>
    <row r="47" spans="1:22" s="272" customFormat="1" ht="27" customHeight="1" x14ac:dyDescent="0.25">
      <c r="A47" s="265"/>
      <c r="B47" s="266">
        <v>5020305000</v>
      </c>
      <c r="C47" s="267" t="s">
        <v>31</v>
      </c>
      <c r="D47" s="298"/>
      <c r="E47" s="267"/>
      <c r="F47" s="298"/>
      <c r="G47" s="268">
        <f>'WORKING PAPER FC1'!L21</f>
        <v>345782.55</v>
      </c>
      <c r="H47" s="267" t="s">
        <v>31</v>
      </c>
      <c r="I47" s="268">
        <f>G47</f>
        <v>345782.55</v>
      </c>
      <c r="J47" s="268"/>
      <c r="K47" s="269">
        <f>G47*-1</f>
        <v>-345782.55</v>
      </c>
      <c r="L47" s="270">
        <v>1040405000</v>
      </c>
      <c r="M47" s="299" t="s">
        <v>32</v>
      </c>
      <c r="N47" s="268"/>
      <c r="O47" s="268">
        <f>K47</f>
        <v>-345782.55</v>
      </c>
      <c r="P47" s="268">
        <f>-O47</f>
        <v>345782.55</v>
      </c>
      <c r="Q47" s="268"/>
      <c r="R47" s="268"/>
      <c r="S47" s="268"/>
      <c r="T47" s="271"/>
      <c r="U47" s="271"/>
      <c r="V47" s="271"/>
    </row>
    <row r="48" spans="1:22" ht="31.5" x14ac:dyDescent="0.25">
      <c r="A48" s="116"/>
      <c r="B48" s="197">
        <v>5020307000</v>
      </c>
      <c r="C48" s="128" t="s">
        <v>44</v>
      </c>
      <c r="D48" s="286"/>
      <c r="E48" s="128"/>
      <c r="F48" s="286">
        <f>IFERROR(VLOOKUP(B48,'WORKING PAPER FC1'!$A$11:$B$12,2,FALSE),0)</f>
        <v>0</v>
      </c>
      <c r="G48" s="118">
        <f>-'[10]JANUARY 2023'!$EL$229-'[10]JANUARY 2023'!$EL$589</f>
        <v>-6292.49</v>
      </c>
      <c r="H48" s="128" t="s">
        <v>44</v>
      </c>
      <c r="I48" s="118">
        <f t="shared" si="7"/>
        <v>6292.49</v>
      </c>
      <c r="J48" s="118"/>
      <c r="K48" s="202">
        <f t="shared" si="9"/>
        <v>-6292.49</v>
      </c>
      <c r="L48" s="229">
        <v>1010102000</v>
      </c>
      <c r="M48" s="195" t="s">
        <v>93</v>
      </c>
      <c r="N48" s="118"/>
      <c r="O48" s="118">
        <f t="shared" si="11"/>
        <v>6292.49</v>
      </c>
      <c r="P48" s="118">
        <f>O48*-1</f>
        <v>-6292.49</v>
      </c>
      <c r="Q48" s="118"/>
      <c r="R48" s="118"/>
      <c r="S48" s="118"/>
      <c r="T48" s="108"/>
      <c r="U48" s="108"/>
      <c r="V48" s="108"/>
    </row>
    <row r="49" spans="1:22" ht="29.25" customHeight="1" x14ac:dyDescent="0.25">
      <c r="A49" s="116"/>
      <c r="B49" s="197">
        <v>5021199000</v>
      </c>
      <c r="C49" s="128" t="s">
        <v>53</v>
      </c>
      <c r="D49" s="286">
        <f>IFERROR(VLOOKUP(B49,'WORKING PAPER FC1'!$A$19:$B$31,2,FALSE),0)</f>
        <v>0</v>
      </c>
      <c r="E49" s="128"/>
      <c r="F49" s="286">
        <f>IFERROR(VLOOKUP(B49,'WORKING PAPER FC1'!$A$11:$B$12,2,FALSE),0)</f>
        <v>0</v>
      </c>
      <c r="G49" s="118">
        <f>-'[10]JANUARY 2023'!$EL$605-95550</f>
        <v>-105405</v>
      </c>
      <c r="H49" s="128" t="s">
        <v>53</v>
      </c>
      <c r="I49" s="118">
        <f t="shared" si="7"/>
        <v>105405</v>
      </c>
      <c r="J49" s="118"/>
      <c r="K49" s="202">
        <f>G49</f>
        <v>-105405</v>
      </c>
      <c r="L49" s="229">
        <v>1010102000</v>
      </c>
      <c r="M49" s="195" t="s">
        <v>93</v>
      </c>
      <c r="N49" s="118"/>
      <c r="O49" s="118">
        <f t="shared" si="11"/>
        <v>105405</v>
      </c>
      <c r="P49" s="118">
        <f>O49*-1</f>
        <v>-105405</v>
      </c>
      <c r="Q49" s="118"/>
      <c r="R49" s="118"/>
      <c r="S49" s="118"/>
      <c r="T49" s="108"/>
      <c r="U49" s="108"/>
      <c r="V49" s="108"/>
    </row>
    <row r="50" spans="1:22" ht="47.25" x14ac:dyDescent="0.25">
      <c r="A50" s="116"/>
      <c r="B50" s="197">
        <v>5021306001</v>
      </c>
      <c r="C50" s="128" t="s">
        <v>57</v>
      </c>
      <c r="D50" s="286">
        <f>IFERROR(VLOOKUP(B50,'WORKING PAPER FC1'!$A$19:$B$31,2,FALSE),0)</f>
        <v>0</v>
      </c>
      <c r="E50" s="128"/>
      <c r="F50" s="286">
        <f>IFERROR(VLOOKUP(B50,'WORKING PAPER FC1'!$A$11:$B$12,2,FALSE),0)</f>
        <v>0</v>
      </c>
      <c r="G50" s="118">
        <f>-'[10]JANUARY 2023'!$EL$601-'[11]FEBRUARY 2023 SORT REV'!$EL$746-48000-68780-75000</f>
        <v>-195971.5</v>
      </c>
      <c r="H50" s="128" t="s">
        <v>57</v>
      </c>
      <c r="I50" s="118">
        <f t="shared" si="7"/>
        <v>195971.5</v>
      </c>
      <c r="J50" s="118"/>
      <c r="K50" s="202">
        <f t="shared" si="9"/>
        <v>-195971.5</v>
      </c>
      <c r="L50" s="229">
        <v>1010102000</v>
      </c>
      <c r="M50" s="195" t="s">
        <v>93</v>
      </c>
      <c r="N50" s="118"/>
      <c r="O50" s="118">
        <f t="shared" si="11"/>
        <v>195971.5</v>
      </c>
      <c r="P50" s="118">
        <f>O50*-1</f>
        <v>-195971.5</v>
      </c>
      <c r="Q50" s="118"/>
      <c r="R50" s="118"/>
      <c r="S50" s="118"/>
      <c r="T50" s="108"/>
      <c r="U50" s="108"/>
      <c r="V50" s="108"/>
    </row>
    <row r="51" spans="1:22" ht="31.5" x14ac:dyDescent="0.25">
      <c r="A51" s="116"/>
      <c r="B51" s="197">
        <v>5029999099</v>
      </c>
      <c r="C51" s="128" t="s">
        <v>59</v>
      </c>
      <c r="D51" s="286">
        <f>IFERROR(VLOOKUP(B51,'WORKING PAPER FC1'!$A$19:$B$31,2,FALSE),0)</f>
        <v>0</v>
      </c>
      <c r="E51" s="128"/>
      <c r="F51" s="286">
        <f>IFERROR(VLOOKUP(B51,'WORKING PAPER FC1'!$A$11:$B$12,2,FALSE),0)</f>
        <v>0</v>
      </c>
      <c r="G51" s="118">
        <f>-'[10]JANUARY 2023'!$EL$228-'[10]JANUARY 2023'!$EL$592-'[10]JANUARY 2023'!$EL$602-'[10]JANUARY 2023'!$EL$606-'[11]FEBRUARY 2023 SORT REV'!$EL$748-'[11]FEBRUARY 2023 SORT REV'!$EL$768-7031.25-169142-41000-11165.55-18019</f>
        <v>-318824.15999999997</v>
      </c>
      <c r="H51" s="128" t="s">
        <v>59</v>
      </c>
      <c r="I51" s="118">
        <f t="shared" si="7"/>
        <v>318824.15999999997</v>
      </c>
      <c r="J51" s="118"/>
      <c r="K51" s="202">
        <f t="shared" si="9"/>
        <v>-318824.15999999997</v>
      </c>
      <c r="L51" s="229">
        <v>1010102000</v>
      </c>
      <c r="M51" s="195" t="s">
        <v>93</v>
      </c>
      <c r="N51" s="118"/>
      <c r="O51" s="118">
        <f t="shared" si="11"/>
        <v>318824.15999999997</v>
      </c>
      <c r="P51" s="118">
        <f>O51*-1</f>
        <v>-318824.15999999997</v>
      </c>
      <c r="Q51" s="118"/>
      <c r="R51" s="118"/>
      <c r="S51" s="118"/>
      <c r="T51" s="108"/>
      <c r="U51" s="108"/>
      <c r="V51" s="108"/>
    </row>
    <row r="52" spans="1:22" x14ac:dyDescent="0.25">
      <c r="A52" s="116"/>
      <c r="B52" s="197">
        <v>5020301001</v>
      </c>
      <c r="C52" s="128" t="s">
        <v>239</v>
      </c>
      <c r="D52" s="286">
        <f>IFERROR(VLOOKUP(B52,'WORKING PAPER FC1'!$A$19:$B$31,2,FALSE),0)</f>
        <v>0</v>
      </c>
      <c r="E52" s="128"/>
      <c r="F52" s="286">
        <f>IFERROR(VLOOKUP(B52,'WORKING PAPER FC1'!$A$11:$B$12,2,FALSE),0)</f>
        <v>0</v>
      </c>
      <c r="G52" s="118">
        <f>-'[11]FEBRUARY 2023 SORT REV'!$EL$747</f>
        <v>-850</v>
      </c>
      <c r="H52" s="128" t="s">
        <v>239</v>
      </c>
      <c r="I52" s="118">
        <f t="shared" si="7"/>
        <v>850</v>
      </c>
      <c r="J52" s="118"/>
      <c r="K52" s="202">
        <f t="shared" si="9"/>
        <v>-850</v>
      </c>
      <c r="L52" s="229">
        <v>1010102000</v>
      </c>
      <c r="M52" s="195" t="s">
        <v>93</v>
      </c>
      <c r="N52" s="118"/>
      <c r="O52" s="118">
        <f t="shared" si="11"/>
        <v>850</v>
      </c>
      <c r="P52" s="118">
        <f>-O52</f>
        <v>-850</v>
      </c>
      <c r="Q52" s="118"/>
      <c r="R52" s="118"/>
      <c r="S52" s="118"/>
      <c r="T52" s="108"/>
      <c r="U52" s="108"/>
      <c r="V52" s="108"/>
    </row>
    <row r="53" spans="1:22" ht="47.25" x14ac:dyDescent="0.25">
      <c r="A53" s="116"/>
      <c r="B53" s="197">
        <v>5020321002</v>
      </c>
      <c r="C53" s="128" t="s">
        <v>251</v>
      </c>
      <c r="D53" s="286">
        <f>IFERROR(VLOOKUP(B53,'WORKING PAPER FC1'!$A$19:$B$31,2,FALSE),0)</f>
        <v>-801200</v>
      </c>
      <c r="E53" s="128"/>
      <c r="F53" s="286">
        <f>IFERROR(VLOOKUP(B53,'WORKING PAPER FC1'!$A$11:$B$12,2,FALSE),0)</f>
        <v>0</v>
      </c>
      <c r="G53" s="118">
        <f>-'[9]ADAdj-APRGOP'!$O$1021-1995-745224-14150-447191+D53+206723</f>
        <v>-1924026</v>
      </c>
      <c r="H53" s="128" t="s">
        <v>251</v>
      </c>
      <c r="I53" s="118">
        <f t="shared" si="7"/>
        <v>1924026</v>
      </c>
      <c r="J53" s="118"/>
      <c r="K53" s="202">
        <f>G53</f>
        <v>-1924026</v>
      </c>
      <c r="L53" s="229">
        <v>1040502000</v>
      </c>
      <c r="M53" s="118" t="s">
        <v>47</v>
      </c>
      <c r="N53" s="118"/>
      <c r="O53" s="118">
        <f t="shared" si="11"/>
        <v>1924026</v>
      </c>
      <c r="P53" s="118">
        <f>-O53</f>
        <v>-1924026</v>
      </c>
      <c r="Q53" s="118"/>
      <c r="R53" s="118"/>
      <c r="S53" s="118"/>
      <c r="T53" s="108"/>
      <c r="U53" s="108"/>
      <c r="V53" s="108"/>
    </row>
    <row r="54" spans="1:22" ht="47.25" x14ac:dyDescent="0.25">
      <c r="A54" s="116"/>
      <c r="B54" s="197">
        <v>5020321002</v>
      </c>
      <c r="C54" s="128" t="s">
        <v>251</v>
      </c>
      <c r="D54" s="286"/>
      <c r="E54" s="128"/>
      <c r="F54" s="286"/>
      <c r="G54" s="118">
        <v>-206723</v>
      </c>
      <c r="H54" s="128" t="s">
        <v>251</v>
      </c>
      <c r="I54" s="118">
        <f t="shared" si="7"/>
        <v>206723</v>
      </c>
      <c r="J54" s="118"/>
      <c r="K54" s="202">
        <f>G54</f>
        <v>-206723</v>
      </c>
      <c r="L54" s="229">
        <v>2010101000</v>
      </c>
      <c r="M54" s="118" t="s">
        <v>25</v>
      </c>
      <c r="N54" s="118"/>
      <c r="O54" s="118">
        <f t="shared" si="11"/>
        <v>206723</v>
      </c>
      <c r="P54" s="118">
        <f>-O54</f>
        <v>-206723</v>
      </c>
      <c r="Q54" s="118"/>
      <c r="R54" s="118"/>
      <c r="S54" s="118"/>
      <c r="T54" s="108"/>
      <c r="U54" s="108"/>
      <c r="V54" s="108"/>
    </row>
    <row r="55" spans="1:22" ht="15" customHeight="1" x14ac:dyDescent="0.25">
      <c r="A55" s="116"/>
      <c r="B55" s="197">
        <v>5021199000</v>
      </c>
      <c r="C55" s="128" t="s">
        <v>53</v>
      </c>
      <c r="D55" s="286">
        <f>IFERROR(VLOOKUP(B55,'WORKING PAPER FC1'!$A$19:$B$31,2,FALSE),0)</f>
        <v>0</v>
      </c>
      <c r="E55" s="128"/>
      <c r="F55" s="286">
        <f>IFERROR(VLOOKUP(B55,'WORKING PAPER FC1'!$A$11:$B$12,2,FALSE),0)</f>
        <v>0</v>
      </c>
      <c r="G55" s="118">
        <f>-10000-'[10]JANUARY 2023'!$EL$240-'[10]JANUARY 2023'!$EL$241-'[10]JANUARY 2023'!$EL$242-'[10]JANUARY 2023'!$EL$319-'[10]JANUARY 2023'!$EL$321-'[10]JANUARY 2023'!$EL$324-'[10]JANUARY 2023'!$EL$325-'[10]JANUARY 2023'!$EL$326-'[10]JANUARY 2023'!$EL$327-'[10]JANUARY 2023'!$EL$135-'[10]JANUARY 2023'!$EL$168-'[10]JANUARY 2023'!$EL$221-'[10]JANUARY 2023'!$EL$237+'[10]JANUARY 2023'!$AU$623-'[7]ADAdj-APRGOP'!$BX$149-'[7]ADAdj-APRGOP'!$BX$198-'[11]FEBRUARY 2023 SORT REV'!$EL$5-'[11]FEBRUARY 2023 SORT REV'!$EL$96-'[11]FEBRUARY 2023 SORT REV'!$EL$97-'[11]FEBRUARY 2023 SORT REV'!$EL$139-'[11]FEBRUARY 2023 SORT REV'!$EL$140-'[11]FEBRUARY 2023 SORT REV'!$EL$141-'[11]FEBRUARY 2023 SORT REV'!$EL$142-'[11]FEBRUARY 2023 SORT REV'!$EL$146-'[11]FEBRUARY 2023 SORT REV'!$EL$159-'[11]FEBRUARY 2023 SORT REV'!$EL$160-'[11]FEBRUARY 2023 SORT REV'!$EL$207-'[11]FEBRUARY 2023 SORT REV'!$EL$208-'[11]FEBRUARY 2023 SORT REV'!$EL$232-'[11]FEBRUARY 2023 SORT REV'!$EL$233-'[11]FEBRUARY 2023 SORT REV'!$EL$445-'[11]FEBRUARY 2023 SORT REV'!$EL$456-'[8]ADAdj-APRGOP'!$BX$21-'[8]ADAdj-APRGOP'!$BX$339-'[12]MARCH 2023 arranged per ADA'!$EM$2875</f>
        <v>-1002261.5399999998</v>
      </c>
      <c r="H55" s="117" t="s">
        <v>53</v>
      </c>
      <c r="I55" s="118">
        <f t="shared" si="7"/>
        <v>993420.93999999983</v>
      </c>
      <c r="J55" s="118">
        <f>'[10]JANUARY 2023'!$AU$623</f>
        <v>8840.6000000000022</v>
      </c>
      <c r="K55" s="202">
        <f>-I55-J55</f>
        <v>-1002261.5399999998</v>
      </c>
      <c r="L55" s="229">
        <v>2010101000</v>
      </c>
      <c r="M55" s="118" t="s">
        <v>25</v>
      </c>
      <c r="N55" s="118">
        <f>J55</f>
        <v>8840.6000000000022</v>
      </c>
      <c r="O55" s="118">
        <f t="shared" si="11"/>
        <v>993420.93999999983</v>
      </c>
      <c r="P55" s="118"/>
      <c r="Q55" s="118">
        <f>O55+N55</f>
        <v>1002261.5399999998</v>
      </c>
      <c r="R55" s="118"/>
      <c r="S55" s="118"/>
      <c r="T55" s="108"/>
      <c r="U55" s="108"/>
      <c r="V55" s="108"/>
    </row>
    <row r="56" spans="1:22" ht="47.25" x14ac:dyDescent="0.25">
      <c r="A56" s="116"/>
      <c r="B56" s="197">
        <v>5021304001</v>
      </c>
      <c r="C56" s="128" t="s">
        <v>56</v>
      </c>
      <c r="D56" s="286">
        <f>IFERROR(VLOOKUP(B56,'WORKING PAPER FC1'!$A$19:$B$31,2,FALSE),0)</f>
        <v>0</v>
      </c>
      <c r="E56" s="128"/>
      <c r="F56" s="286">
        <f>IFERROR(VLOOKUP(B56,'WORKING PAPER FC1'!$A$11:$B$12,2,FALSE),0)</f>
        <v>0</v>
      </c>
      <c r="G56" s="118">
        <f>-'[12]MARCH 2023 arranged per ADA'!$EM$2878</f>
        <v>-519632.75</v>
      </c>
      <c r="H56" s="128" t="s">
        <v>56</v>
      </c>
      <c r="I56" s="118">
        <f t="shared" si="7"/>
        <v>519632.75</v>
      </c>
      <c r="J56" s="118"/>
      <c r="K56" s="202">
        <f t="shared" ref="K56" si="12">G56</f>
        <v>-519632.75</v>
      </c>
      <c r="L56" s="229">
        <v>2010101000</v>
      </c>
      <c r="M56" s="118" t="s">
        <v>25</v>
      </c>
      <c r="N56" s="118"/>
      <c r="O56" s="118">
        <f t="shared" si="11"/>
        <v>519632.75</v>
      </c>
      <c r="P56" s="118"/>
      <c r="Q56" s="118">
        <f>O56</f>
        <v>519632.75</v>
      </c>
      <c r="R56" s="118"/>
      <c r="S56" s="118"/>
      <c r="T56" s="108"/>
      <c r="U56" s="108"/>
      <c r="V56" s="108"/>
    </row>
    <row r="57" spans="1:22" ht="47.25" x14ac:dyDescent="0.25">
      <c r="A57" s="116"/>
      <c r="B57" s="197">
        <v>5021306001</v>
      </c>
      <c r="C57" s="128" t="s">
        <v>57</v>
      </c>
      <c r="D57" s="286">
        <f>IFERROR(VLOOKUP(B57,'WORKING PAPER FC1'!$A$19:$B$31,2,FALSE),0)</f>
        <v>0</v>
      </c>
      <c r="E57" s="128"/>
      <c r="F57" s="286">
        <f>IFERROR(VLOOKUP(B57,'WORKING PAPER FC1'!$A$11:$B$12,2,FALSE),0)</f>
        <v>0</v>
      </c>
      <c r="G57" s="118">
        <f>-'[12]MARCH 2023 arranged per ADA'!$EM$2879-'[9]ADAdj-APRGOP'!$O$1024+'[17]CRJ FC1'!$G$132-2283.48</f>
        <v>-176111.42</v>
      </c>
      <c r="H57" s="117" t="s">
        <v>57</v>
      </c>
      <c r="I57" s="118">
        <f t="shared" si="7"/>
        <v>150417.37000000002</v>
      </c>
      <c r="J57" s="118">
        <f>'[17]CRJ FC1'!$G$132</f>
        <v>25694.05</v>
      </c>
      <c r="K57" s="202">
        <f>-I57-J57</f>
        <v>-176111.42</v>
      </c>
      <c r="L57" s="229">
        <v>2010101000</v>
      </c>
      <c r="M57" s="118" t="s">
        <v>25</v>
      </c>
      <c r="N57" s="118">
        <f>J57</f>
        <v>25694.05</v>
      </c>
      <c r="O57" s="118">
        <f t="shared" si="11"/>
        <v>150417.37000000002</v>
      </c>
      <c r="P57" s="118"/>
      <c r="Q57" s="118">
        <f>O57+N57</f>
        <v>176111.42</v>
      </c>
      <c r="R57" s="118"/>
      <c r="S57" s="118"/>
      <c r="T57" s="108"/>
      <c r="U57" s="108"/>
      <c r="V57" s="108"/>
    </row>
    <row r="58" spans="1:22" ht="31.5" x14ac:dyDescent="0.25">
      <c r="A58" s="116"/>
      <c r="B58" s="197">
        <v>5020309000</v>
      </c>
      <c r="C58" s="128" t="s">
        <v>37</v>
      </c>
      <c r="D58" s="286">
        <f>IFERROR(VLOOKUP(B58,'WORKING PAPER FC1'!$A$19:$B$31,2,FALSE),0)</f>
        <v>0</v>
      </c>
      <c r="E58" s="128"/>
      <c r="F58" s="286">
        <f>IFERROR(VLOOKUP(B58,'WORKING PAPER FC1'!$A$11:$B$12,2,FALSE),0)</f>
        <v>0</v>
      </c>
      <c r="G58" s="118">
        <f>-'[12]MARCH 2023 arranged per ADA'!$EM$2870-32509.69</f>
        <v>-218527.07</v>
      </c>
      <c r="H58" s="128" t="s">
        <v>37</v>
      </c>
      <c r="I58" s="118">
        <f t="shared" si="7"/>
        <v>218527.07</v>
      </c>
      <c r="J58" s="118"/>
      <c r="K58" s="202">
        <f t="shared" ref="K58:K80" si="13">G58</f>
        <v>-218527.07</v>
      </c>
      <c r="L58" s="229">
        <v>2010101000</v>
      </c>
      <c r="M58" s="118" t="s">
        <v>25</v>
      </c>
      <c r="N58" s="118"/>
      <c r="O58" s="118">
        <f t="shared" si="11"/>
        <v>218527.07</v>
      </c>
      <c r="P58" s="118"/>
      <c r="Q58" s="118">
        <f>O58-N58</f>
        <v>218527.07</v>
      </c>
      <c r="R58" s="118"/>
      <c r="S58" s="118"/>
      <c r="T58" s="108"/>
      <c r="U58" s="108"/>
      <c r="V58" s="108"/>
    </row>
    <row r="59" spans="1:22" ht="47.25" x14ac:dyDescent="0.25">
      <c r="A59" s="116"/>
      <c r="B59" s="197">
        <v>5020321003</v>
      </c>
      <c r="C59" s="128" t="s">
        <v>49</v>
      </c>
      <c r="D59" s="286">
        <f>IFERROR(VLOOKUP(B59,'WORKING PAPER FC1'!$A$19:$B$31,2,FALSE),0)</f>
        <v>-3481725.35</v>
      </c>
      <c r="E59" s="128"/>
      <c r="F59" s="286">
        <f>IFERROR(VLOOKUP(B59,'WORKING PAPER FC1'!$A$11:$B$12,2,FALSE),0)</f>
        <v>0</v>
      </c>
      <c r="G59" s="118">
        <f>-'[12]MARCH 2023 arranged per ADA'!$EM$2871-37595-610703.71-3890-1658721.82+D59+'WORKING PAPER FC1'!L20+'WORKING PAPER FC1'!U13</f>
        <v>-5811031.8800000008</v>
      </c>
      <c r="H59" s="128" t="s">
        <v>49</v>
      </c>
      <c r="I59" s="118">
        <f t="shared" si="7"/>
        <v>5811031.8800000008</v>
      </c>
      <c r="J59" s="118"/>
      <c r="K59" s="202">
        <f t="shared" si="13"/>
        <v>-5811031.8800000008</v>
      </c>
      <c r="L59" s="229">
        <v>1040503000</v>
      </c>
      <c r="M59" s="129" t="s">
        <v>105</v>
      </c>
      <c r="N59" s="118"/>
      <c r="O59" s="118">
        <f t="shared" si="11"/>
        <v>5811031.8800000008</v>
      </c>
      <c r="P59" s="118">
        <f>-O59</f>
        <v>-5811031.8800000008</v>
      </c>
      <c r="Q59" s="118"/>
      <c r="R59" s="118"/>
      <c r="S59" s="118"/>
      <c r="T59" s="108"/>
      <c r="U59" s="108"/>
      <c r="V59" s="108"/>
    </row>
    <row r="60" spans="1:22" ht="47.25" x14ac:dyDescent="0.25">
      <c r="A60" s="116"/>
      <c r="B60" s="197">
        <v>5020308000</v>
      </c>
      <c r="C60" s="128" t="s">
        <v>262</v>
      </c>
      <c r="D60" s="286">
        <f>IFERROR(VLOOKUP(B60,'WORKING PAPER FC1'!$A$19:$B$31,2,FALSE),0)</f>
        <v>0</v>
      </c>
      <c r="E60" s="128"/>
      <c r="F60" s="286">
        <f>IFERROR(VLOOKUP(B60,'WORKING PAPER FC1'!$A$11:$B$12,2,FALSE),0)</f>
        <v>0</v>
      </c>
      <c r="G60" s="113">
        <v>-276425.43</v>
      </c>
      <c r="H60" s="128" t="s">
        <v>49</v>
      </c>
      <c r="I60" s="118">
        <f t="shared" si="7"/>
        <v>276425.43</v>
      </c>
      <c r="J60" s="118"/>
      <c r="K60" s="202">
        <f t="shared" si="13"/>
        <v>-276425.43</v>
      </c>
      <c r="L60" s="229">
        <v>2010101000</v>
      </c>
      <c r="M60" s="118" t="s">
        <v>25</v>
      </c>
      <c r="N60" s="118"/>
      <c r="O60" s="118">
        <f t="shared" si="11"/>
        <v>276425.43</v>
      </c>
      <c r="P60" s="118"/>
      <c r="Q60" s="118">
        <f>O60-N60</f>
        <v>276425.43</v>
      </c>
      <c r="R60" s="118"/>
      <c r="S60" s="118"/>
      <c r="T60" s="108"/>
      <c r="U60" s="108"/>
      <c r="V60" s="108"/>
    </row>
    <row r="61" spans="1:22" ht="31.5" x14ac:dyDescent="0.25">
      <c r="A61" s="116"/>
      <c r="B61" s="197">
        <v>5029999099</v>
      </c>
      <c r="C61" s="128" t="s">
        <v>59</v>
      </c>
      <c r="D61" s="286">
        <f>IFERROR(VLOOKUP(B61,'WORKING PAPER FC1'!$A$19:$B$31,2,FALSE),0)</f>
        <v>0</v>
      </c>
      <c r="E61" s="128"/>
      <c r="F61" s="286">
        <f>IFERROR(VLOOKUP(B61,'WORKING PAPER FC1'!$A$11:$B$12,2,FALSE),0)</f>
        <v>0</v>
      </c>
      <c r="G61" s="118">
        <f>-118866.16-'[12]MARCH 2023 arranged per ADA'!$EM$2881-'[12]MARCH 2023 arranged per ADA'!$EM$2883-'[9]ADAdj-APRGOP'!$O$1025-'[9]ADAdj-APRGOP'!$O$1027-7150</f>
        <v>-1106990.3400000001</v>
      </c>
      <c r="H61" s="117" t="s">
        <v>59</v>
      </c>
      <c r="I61" s="118">
        <f t="shared" si="7"/>
        <v>1106990.3400000001</v>
      </c>
      <c r="J61" s="118"/>
      <c r="K61" s="202">
        <f t="shared" si="13"/>
        <v>-1106990.3400000001</v>
      </c>
      <c r="L61" s="229">
        <v>2010101000</v>
      </c>
      <c r="M61" s="118" t="s">
        <v>25</v>
      </c>
      <c r="N61" s="118"/>
      <c r="O61" s="118">
        <f t="shared" si="11"/>
        <v>1106990.3400000001</v>
      </c>
      <c r="P61" s="118"/>
      <c r="Q61" s="118">
        <f>O61</f>
        <v>1106990.3400000001</v>
      </c>
      <c r="R61" s="118"/>
      <c r="S61" s="118"/>
      <c r="T61" s="108"/>
      <c r="U61" s="108"/>
      <c r="V61" s="108"/>
    </row>
    <row r="62" spans="1:22" x14ac:dyDescent="0.25">
      <c r="A62" s="116"/>
      <c r="B62" s="197">
        <v>5029901000</v>
      </c>
      <c r="C62" s="128" t="s">
        <v>174</v>
      </c>
      <c r="D62" s="286">
        <f>IFERROR(VLOOKUP(B62,'WORKING PAPER FC1'!$A$19:$B$31,2,FALSE),0)</f>
        <v>0</v>
      </c>
      <c r="E62" s="128"/>
      <c r="F62" s="286">
        <f>IFERROR(VLOOKUP(B62,'WORKING PAPER FC1'!$A$11:$B$12,2,FALSE),0)</f>
        <v>0</v>
      </c>
      <c r="G62" s="118">
        <f>-50000-221000-239000-74850</f>
        <v>-584850</v>
      </c>
      <c r="H62" s="128" t="s">
        <v>174</v>
      </c>
      <c r="I62" s="118">
        <f t="shared" si="7"/>
        <v>584850</v>
      </c>
      <c r="J62" s="118"/>
      <c r="K62" s="202">
        <f t="shared" si="13"/>
        <v>-584850</v>
      </c>
      <c r="L62" s="229">
        <v>2010101000</v>
      </c>
      <c r="M62" s="118" t="s">
        <v>25</v>
      </c>
      <c r="N62" s="118"/>
      <c r="O62" s="118">
        <f t="shared" si="11"/>
        <v>584850</v>
      </c>
      <c r="P62" s="118"/>
      <c r="Q62" s="118">
        <f>O62</f>
        <v>584850</v>
      </c>
      <c r="R62" s="118"/>
      <c r="S62" s="118"/>
      <c r="T62" s="108"/>
      <c r="U62" s="108"/>
      <c r="V62" s="108"/>
    </row>
    <row r="63" spans="1:22" x14ac:dyDescent="0.25">
      <c r="A63" s="116"/>
      <c r="B63" s="197">
        <v>5020306000</v>
      </c>
      <c r="C63" s="128" t="s">
        <v>258</v>
      </c>
      <c r="D63" s="286"/>
      <c r="E63" s="128"/>
      <c r="F63" s="286">
        <f>IFERROR(VLOOKUP(B63,'WORKING PAPER FC1'!$A$11:$B$12,2,FALSE),0)</f>
        <v>0</v>
      </c>
      <c r="G63" s="118">
        <f>-580752.5</f>
        <v>-580752.5</v>
      </c>
      <c r="H63" s="128" t="s">
        <v>258</v>
      </c>
      <c r="I63" s="118">
        <f t="shared" si="7"/>
        <v>580752.5</v>
      </c>
      <c r="J63" s="118"/>
      <c r="K63" s="202">
        <f t="shared" si="13"/>
        <v>-580752.5</v>
      </c>
      <c r="L63" s="229">
        <v>2010101000</v>
      </c>
      <c r="M63" s="118" t="s">
        <v>25</v>
      </c>
      <c r="N63" s="118"/>
      <c r="O63" s="118">
        <f t="shared" si="11"/>
        <v>580752.5</v>
      </c>
      <c r="P63" s="118"/>
      <c r="Q63" s="118">
        <f>O63</f>
        <v>580752.5</v>
      </c>
      <c r="R63" s="118"/>
      <c r="S63" s="118"/>
      <c r="T63" s="108"/>
      <c r="U63" s="238" t="s">
        <v>259</v>
      </c>
      <c r="V63" s="108"/>
    </row>
    <row r="64" spans="1:22" x14ac:dyDescent="0.25">
      <c r="A64" s="116"/>
      <c r="B64" s="197">
        <v>5020503000</v>
      </c>
      <c r="C64" s="128" t="s">
        <v>42</v>
      </c>
      <c r="D64" s="286">
        <f>IFERROR(VLOOKUP(B64,'WORKING PAPER FC1'!$A$19:$B$31,2,FALSE),0)</f>
        <v>0</v>
      </c>
      <c r="E64" s="128"/>
      <c r="F64" s="286">
        <f>IFERROR(VLOOKUP(B64,'WORKING PAPER FC1'!$A$11:$B$12,2,FALSE),0)</f>
        <v>0</v>
      </c>
      <c r="G64" s="118">
        <f>-12907.78</f>
        <v>-12907.78</v>
      </c>
      <c r="H64" s="128" t="s">
        <v>42</v>
      </c>
      <c r="I64" s="118">
        <f t="shared" si="7"/>
        <v>12907.78</v>
      </c>
      <c r="J64" s="118"/>
      <c r="K64" s="202">
        <f t="shared" si="13"/>
        <v>-12907.78</v>
      </c>
      <c r="L64" s="229">
        <v>2010101000</v>
      </c>
      <c r="M64" s="118" t="s">
        <v>25</v>
      </c>
      <c r="N64" s="118"/>
      <c r="O64" s="118">
        <f t="shared" si="11"/>
        <v>12907.78</v>
      </c>
      <c r="P64" s="118"/>
      <c r="Q64" s="118">
        <f>O64</f>
        <v>12907.78</v>
      </c>
      <c r="R64" s="118"/>
      <c r="S64" s="118"/>
      <c r="T64" s="108"/>
      <c r="U64" s="238"/>
      <c r="V64" s="108"/>
    </row>
    <row r="65" spans="1:22" ht="31.5" x14ac:dyDescent="0.25">
      <c r="A65" s="116"/>
      <c r="B65" s="197">
        <v>5029905003</v>
      </c>
      <c r="C65" s="128" t="s">
        <v>260</v>
      </c>
      <c r="D65" s="286">
        <f>IFERROR(VLOOKUP(B65,'WORKING PAPER FC1'!$A$19:$B$31,2,FALSE),0)</f>
        <v>0</v>
      </c>
      <c r="E65" s="128"/>
      <c r="F65" s="286">
        <f>IFERROR(VLOOKUP(B65,'WORKING PAPER FC1'!$A$11:$B$12,2,FALSE),0)</f>
        <v>0</v>
      </c>
      <c r="G65" s="118">
        <f>-1037350</f>
        <v>-1037350</v>
      </c>
      <c r="H65" s="128" t="s">
        <v>260</v>
      </c>
      <c r="I65" s="118">
        <f t="shared" si="7"/>
        <v>1037350</v>
      </c>
      <c r="J65" s="118"/>
      <c r="K65" s="202">
        <f t="shared" si="13"/>
        <v>-1037350</v>
      </c>
      <c r="L65" s="229">
        <v>2010101000</v>
      </c>
      <c r="M65" s="118" t="s">
        <v>25</v>
      </c>
      <c r="N65" s="118"/>
      <c r="O65" s="118">
        <f t="shared" si="11"/>
        <v>1037350</v>
      </c>
      <c r="P65" s="118"/>
      <c r="Q65" s="118">
        <f>O65</f>
        <v>1037350</v>
      </c>
      <c r="R65" s="118"/>
      <c r="S65" s="118"/>
      <c r="T65" s="108"/>
      <c r="U65" s="238"/>
      <c r="V65" s="108"/>
    </row>
    <row r="66" spans="1:22" ht="31.5" x14ac:dyDescent="0.25">
      <c r="A66" s="116"/>
      <c r="B66" s="197">
        <v>5020322001</v>
      </c>
      <c r="C66" s="128" t="s">
        <v>264</v>
      </c>
      <c r="D66" s="286">
        <f>IFERROR(VLOOKUP(B66,'WORKING PAPER FC1'!$A$19:$B$31,2,FALSE),0)</f>
        <v>-7544285.4500000002</v>
      </c>
      <c r="E66" s="128"/>
      <c r="F66" s="286">
        <f>IFERROR(VLOOKUP(B66,'WORKING PAPER FC1'!$A$11:$B$12,2,FALSE),0)</f>
        <v>0</v>
      </c>
      <c r="G66" s="118">
        <f>-22300-39500-831327+D66+376332.5</f>
        <v>-8061079.9499999993</v>
      </c>
      <c r="H66" s="128" t="s">
        <v>264</v>
      </c>
      <c r="I66" s="118">
        <f t="shared" si="7"/>
        <v>8061079.9499999993</v>
      </c>
      <c r="J66" s="118"/>
      <c r="K66" s="202">
        <f t="shared" si="13"/>
        <v>-8061079.9499999993</v>
      </c>
      <c r="L66" s="229">
        <v>1040601000</v>
      </c>
      <c r="M66" s="118" t="s">
        <v>265</v>
      </c>
      <c r="N66" s="118"/>
      <c r="O66" s="118">
        <f t="shared" si="11"/>
        <v>8061079.9499999993</v>
      </c>
      <c r="P66" s="118">
        <f t="shared" ref="P66:P71" si="14">-O66</f>
        <v>-8061079.9499999993</v>
      </c>
      <c r="Q66" s="118"/>
      <c r="R66" s="118"/>
      <c r="S66" s="118"/>
      <c r="T66" s="108"/>
      <c r="U66" s="238"/>
      <c r="V66" s="108"/>
    </row>
    <row r="67" spans="1:22" ht="31.5" x14ac:dyDescent="0.25">
      <c r="A67" s="116"/>
      <c r="B67" s="197">
        <v>5020322001</v>
      </c>
      <c r="C67" s="128" t="s">
        <v>264</v>
      </c>
      <c r="D67" s="286"/>
      <c r="E67" s="128"/>
      <c r="F67" s="286"/>
      <c r="G67" s="118">
        <v>-376332.5</v>
      </c>
      <c r="H67" s="128" t="s">
        <v>264</v>
      </c>
      <c r="I67" s="118">
        <f t="shared" si="7"/>
        <v>376332.5</v>
      </c>
      <c r="J67" s="118"/>
      <c r="K67" s="202">
        <f t="shared" si="13"/>
        <v>-376332.5</v>
      </c>
      <c r="L67" s="229">
        <v>2010101000</v>
      </c>
      <c r="M67" s="118" t="s">
        <v>25</v>
      </c>
      <c r="N67" s="118"/>
      <c r="O67" s="118">
        <f t="shared" si="11"/>
        <v>376332.5</v>
      </c>
      <c r="P67" s="118">
        <f t="shared" si="14"/>
        <v>-376332.5</v>
      </c>
      <c r="Q67" s="118"/>
      <c r="R67" s="118"/>
      <c r="S67" s="118"/>
      <c r="T67" s="108"/>
      <c r="U67" s="238"/>
      <c r="V67" s="108"/>
    </row>
    <row r="68" spans="1:22" ht="47.25" x14ac:dyDescent="0.25">
      <c r="A68" s="116"/>
      <c r="B68" s="197">
        <v>5020321099</v>
      </c>
      <c r="C68" s="128" t="s">
        <v>266</v>
      </c>
      <c r="D68" s="286">
        <f>IFERROR(VLOOKUP(B68,'WORKING PAPER FC1'!$A$19:$B$31,2,FALSE),0)</f>
        <v>-1430674.25</v>
      </c>
      <c r="E68" s="128"/>
      <c r="F68" s="286">
        <f>IFERROR(VLOOKUP(B68,'WORKING PAPER FC1'!$A$11:$B$12,2,FALSE),0)</f>
        <v>0</v>
      </c>
      <c r="G68" s="118">
        <f>-1258.75+D68+252386</f>
        <v>-1179547</v>
      </c>
      <c r="H68" s="128" t="s">
        <v>266</v>
      </c>
      <c r="I68" s="118">
        <f t="shared" si="7"/>
        <v>1179547</v>
      </c>
      <c r="J68" s="118"/>
      <c r="K68" s="202">
        <f t="shared" si="13"/>
        <v>-1179547</v>
      </c>
      <c r="L68" s="229">
        <v>1040599000</v>
      </c>
      <c r="M68" s="129" t="s">
        <v>267</v>
      </c>
      <c r="N68" s="118"/>
      <c r="O68" s="118">
        <f t="shared" si="11"/>
        <v>1179547</v>
      </c>
      <c r="P68" s="118">
        <f t="shared" si="14"/>
        <v>-1179547</v>
      </c>
      <c r="Q68" s="118"/>
      <c r="R68" s="118"/>
      <c r="S68" s="118"/>
      <c r="T68" s="108"/>
      <c r="U68" s="238"/>
      <c r="V68" s="108"/>
    </row>
    <row r="69" spans="1:22" ht="47.25" x14ac:dyDescent="0.25">
      <c r="A69" s="116"/>
      <c r="B69" s="197">
        <v>5020321099</v>
      </c>
      <c r="C69" s="128" t="s">
        <v>266</v>
      </c>
      <c r="D69" s="286"/>
      <c r="E69" s="128"/>
      <c r="F69" s="286"/>
      <c r="G69" s="118">
        <f>-252386</f>
        <v>-252386</v>
      </c>
      <c r="H69" s="128" t="s">
        <v>266</v>
      </c>
      <c r="I69" s="118">
        <f t="shared" si="7"/>
        <v>252386</v>
      </c>
      <c r="J69" s="118"/>
      <c r="K69" s="202">
        <f t="shared" si="13"/>
        <v>-252386</v>
      </c>
      <c r="L69" s="229">
        <v>2010101000</v>
      </c>
      <c r="M69" s="118" t="s">
        <v>25</v>
      </c>
      <c r="N69" s="118"/>
      <c r="O69" s="118">
        <f t="shared" si="11"/>
        <v>252386</v>
      </c>
      <c r="P69" s="118">
        <f t="shared" si="14"/>
        <v>-252386</v>
      </c>
      <c r="Q69" s="118"/>
      <c r="R69" s="118"/>
      <c r="S69" s="118"/>
      <c r="T69" s="108"/>
      <c r="U69" s="238"/>
      <c r="V69" s="108"/>
    </row>
    <row r="70" spans="1:22" ht="31.5" x14ac:dyDescent="0.25">
      <c r="A70" s="116"/>
      <c r="B70" s="248">
        <v>5020308000</v>
      </c>
      <c r="C70" s="128" t="s">
        <v>262</v>
      </c>
      <c r="D70" s="286">
        <f>IFERROR(VLOOKUP(B70,'WORKING PAPER FC1'!$A$19:$B$31,2,FALSE),0)</f>
        <v>0</v>
      </c>
      <c r="E70" s="128"/>
      <c r="F70" s="286">
        <f>IFERROR(VLOOKUP(B70,'WORKING PAPER FC1'!$A$11:$B$12,2,FALSE),0)</f>
        <v>0</v>
      </c>
      <c r="G70" s="118">
        <f>+-174874.57-4450</f>
        <v>-179324.57</v>
      </c>
      <c r="H70" s="128" t="s">
        <v>262</v>
      </c>
      <c r="I70" s="118">
        <f t="shared" si="7"/>
        <v>179324.57</v>
      </c>
      <c r="J70" s="118"/>
      <c r="K70" s="202">
        <f t="shared" si="13"/>
        <v>-179324.57</v>
      </c>
      <c r="L70" s="229">
        <v>1040407000</v>
      </c>
      <c r="M70" s="129" t="s">
        <v>263</v>
      </c>
      <c r="N70" s="118"/>
      <c r="O70" s="118">
        <f t="shared" si="11"/>
        <v>179324.57</v>
      </c>
      <c r="P70" s="118">
        <f t="shared" si="14"/>
        <v>-179324.57</v>
      </c>
      <c r="Q70" s="118"/>
      <c r="R70" s="118"/>
      <c r="S70" s="118"/>
      <c r="T70" s="108"/>
      <c r="U70" s="238"/>
      <c r="V70" s="108"/>
    </row>
    <row r="71" spans="1:22" ht="47.25" x14ac:dyDescent="0.25">
      <c r="A71" s="116"/>
      <c r="B71" s="197">
        <v>5020321007</v>
      </c>
      <c r="C71" s="128" t="s">
        <v>268</v>
      </c>
      <c r="D71" s="286">
        <f>IFERROR(VLOOKUP(B71,'WORKING PAPER FC1'!$A$19:$B$31,2,FALSE),0)</f>
        <v>-739355.2</v>
      </c>
      <c r="E71" s="128"/>
      <c r="F71" s="286">
        <f>IFERROR(VLOOKUP(B71,'WORKING PAPER FC1'!$A$11:$B$12,2,FALSE),0)</f>
        <v>0</v>
      </c>
      <c r="G71" s="118">
        <f>-2980-84990+D71</f>
        <v>-827325.2</v>
      </c>
      <c r="H71" s="128" t="s">
        <v>268</v>
      </c>
      <c r="I71" s="118">
        <f t="shared" si="7"/>
        <v>827325.2</v>
      </c>
      <c r="J71" s="118"/>
      <c r="K71" s="202">
        <f t="shared" si="13"/>
        <v>-827325.2</v>
      </c>
      <c r="L71" s="229">
        <v>1040507000</v>
      </c>
      <c r="M71" s="129" t="s">
        <v>269</v>
      </c>
      <c r="N71" s="118"/>
      <c r="O71" s="118">
        <f t="shared" si="11"/>
        <v>827325.2</v>
      </c>
      <c r="P71" s="118">
        <f t="shared" si="14"/>
        <v>-827325.2</v>
      </c>
      <c r="Q71" s="118"/>
      <c r="R71" s="118"/>
      <c r="S71" s="118"/>
      <c r="T71" s="108"/>
      <c r="U71" s="238"/>
      <c r="V71" s="108"/>
    </row>
    <row r="72" spans="1:22" ht="31.5" x14ac:dyDescent="0.25">
      <c r="A72" s="116"/>
      <c r="B72" s="197">
        <v>5029905001</v>
      </c>
      <c r="C72" s="128" t="s">
        <v>270</v>
      </c>
      <c r="D72" s="286">
        <f>IFERROR(VLOOKUP(B72,'WORKING PAPER FC1'!$A$19:$B$31,2,FALSE),0)</f>
        <v>0</v>
      </c>
      <c r="E72" s="128"/>
      <c r="F72" s="286">
        <f>IFERROR(VLOOKUP(B72,'WORKING PAPER FC1'!$A$11:$B$12,2,FALSE),0)</f>
        <v>0</v>
      </c>
      <c r="G72" s="118">
        <f>-296000</f>
        <v>-296000</v>
      </c>
      <c r="H72" s="128" t="s">
        <v>270</v>
      </c>
      <c r="I72" s="118">
        <f t="shared" si="7"/>
        <v>296000</v>
      </c>
      <c r="J72" s="118"/>
      <c r="K72" s="202">
        <f t="shared" si="13"/>
        <v>-296000</v>
      </c>
      <c r="L72" s="229">
        <v>2010101000</v>
      </c>
      <c r="M72" s="118" t="s">
        <v>25</v>
      </c>
      <c r="N72" s="118"/>
      <c r="O72" s="118">
        <f t="shared" si="11"/>
        <v>296000</v>
      </c>
      <c r="P72" s="118"/>
      <c r="Q72" s="118">
        <f>O72-N72</f>
        <v>296000</v>
      </c>
      <c r="R72" s="118"/>
      <c r="S72" s="118"/>
      <c r="T72" s="108"/>
      <c r="U72" s="238"/>
      <c r="V72" s="108"/>
    </row>
    <row r="73" spans="1:22" ht="31.5" x14ac:dyDescent="0.25">
      <c r="A73" s="116"/>
      <c r="B73" s="197">
        <v>5029902000</v>
      </c>
      <c r="C73" s="128" t="s">
        <v>62</v>
      </c>
      <c r="D73" s="286">
        <f>IFERROR(VLOOKUP(B73,'WORKING PAPER FC1'!$A$19:$B$31,2,FALSE),0)</f>
        <v>0</v>
      </c>
      <c r="E73" s="128"/>
      <c r="F73" s="286">
        <f>IFERROR(VLOOKUP(B73,'WORKING PAPER FC1'!$A$11:$B$12,2,FALSE),0)</f>
        <v>0</v>
      </c>
      <c r="G73" s="118">
        <f>-100000-162050</f>
        <v>-262050</v>
      </c>
      <c r="H73" s="128" t="s">
        <v>62</v>
      </c>
      <c r="I73" s="118">
        <f t="shared" si="7"/>
        <v>262050</v>
      </c>
      <c r="J73" s="118"/>
      <c r="K73" s="202">
        <f t="shared" si="13"/>
        <v>-262050</v>
      </c>
      <c r="L73" s="229">
        <v>2010101000</v>
      </c>
      <c r="M73" s="118" t="s">
        <v>25</v>
      </c>
      <c r="N73" s="118"/>
      <c r="O73" s="118">
        <f t="shared" si="11"/>
        <v>262050</v>
      </c>
      <c r="P73" s="118"/>
      <c r="Q73" s="118">
        <f>O73-N73</f>
        <v>262050</v>
      </c>
      <c r="R73" s="118"/>
      <c r="S73" s="118"/>
      <c r="T73" s="108"/>
      <c r="U73" s="238"/>
      <c r="V73" s="108"/>
    </row>
    <row r="74" spans="1:22" ht="47.25" x14ac:dyDescent="0.25">
      <c r="A74" s="116"/>
      <c r="B74" s="197">
        <v>5020321001</v>
      </c>
      <c r="C74" s="128" t="s">
        <v>271</v>
      </c>
      <c r="D74" s="286">
        <f>IFERROR(VLOOKUP(B74,'WORKING PAPER FC1'!$A$19:$B$31,2,FALSE),0)</f>
        <v>-231758.5</v>
      </c>
      <c r="E74" s="128"/>
      <c r="F74" s="286">
        <f>IFERROR(VLOOKUP(B74,'WORKING PAPER FC1'!$A$11:$B$12,2,FALSE),0)</f>
        <v>0</v>
      </c>
      <c r="G74" s="118">
        <f>-13846.25+D74</f>
        <v>-245604.75</v>
      </c>
      <c r="H74" s="128" t="s">
        <v>271</v>
      </c>
      <c r="I74" s="118">
        <f t="shared" si="7"/>
        <v>245604.75</v>
      </c>
      <c r="J74" s="118"/>
      <c r="K74" s="202">
        <f t="shared" si="13"/>
        <v>-245604.75</v>
      </c>
      <c r="L74" s="229">
        <v>1040501000</v>
      </c>
      <c r="M74" s="118" t="s">
        <v>272</v>
      </c>
      <c r="N74" s="118"/>
      <c r="O74" s="118">
        <f t="shared" si="11"/>
        <v>245604.75</v>
      </c>
      <c r="P74" s="118">
        <f>-O74</f>
        <v>-245604.75</v>
      </c>
      <c r="Q74" s="118"/>
      <c r="R74" s="118"/>
      <c r="S74" s="118"/>
      <c r="T74" s="108"/>
      <c r="U74" s="238"/>
      <c r="V74" s="108"/>
    </row>
    <row r="75" spans="1:22" ht="47.25" x14ac:dyDescent="0.25">
      <c r="A75" s="116"/>
      <c r="B75" s="197">
        <v>5020321010</v>
      </c>
      <c r="C75" s="128" t="s">
        <v>273</v>
      </c>
      <c r="D75" s="286">
        <f>IFERROR(VLOOKUP(B75,'WORKING PAPER FC1'!$A$19:$B$31,2,FALSE),0)</f>
        <v>-157706</v>
      </c>
      <c r="E75" s="128"/>
      <c r="F75" s="286">
        <f>IFERROR(VLOOKUP(B75,'WORKING PAPER FC1'!$A$11:$B$12,2,FALSE),0)</f>
        <v>0</v>
      </c>
      <c r="G75" s="118">
        <f>-36000+D75+1910</f>
        <v>-191796</v>
      </c>
      <c r="H75" s="128" t="s">
        <v>271</v>
      </c>
      <c r="I75" s="118">
        <f t="shared" si="7"/>
        <v>191796</v>
      </c>
      <c r="J75" s="118"/>
      <c r="K75" s="202">
        <f t="shared" si="13"/>
        <v>-191796</v>
      </c>
      <c r="L75" s="229">
        <v>1040510000</v>
      </c>
      <c r="M75" s="118" t="s">
        <v>274</v>
      </c>
      <c r="N75" s="118"/>
      <c r="O75" s="118">
        <f t="shared" si="11"/>
        <v>191796</v>
      </c>
      <c r="P75" s="118">
        <f>-O75</f>
        <v>-191796</v>
      </c>
      <c r="Q75" s="118"/>
      <c r="R75" s="118"/>
      <c r="S75" s="118"/>
      <c r="T75" s="108"/>
      <c r="U75" s="238"/>
      <c r="V75" s="108"/>
    </row>
    <row r="76" spans="1:22" ht="47.25" x14ac:dyDescent="0.25">
      <c r="A76" s="116"/>
      <c r="B76" s="197">
        <v>5020321010</v>
      </c>
      <c r="C76" s="128" t="s">
        <v>273</v>
      </c>
      <c r="D76" s="286"/>
      <c r="E76" s="128"/>
      <c r="F76" s="286"/>
      <c r="G76" s="118">
        <v>-1910</v>
      </c>
      <c r="H76" s="128" t="s">
        <v>271</v>
      </c>
      <c r="I76" s="118">
        <f t="shared" si="7"/>
        <v>1910</v>
      </c>
      <c r="J76" s="118"/>
      <c r="K76" s="202">
        <f t="shared" si="13"/>
        <v>-1910</v>
      </c>
      <c r="L76" s="229">
        <v>2010101000</v>
      </c>
      <c r="M76" s="118" t="s">
        <v>25</v>
      </c>
      <c r="N76" s="118"/>
      <c r="O76" s="118">
        <f t="shared" si="11"/>
        <v>1910</v>
      </c>
      <c r="P76" s="118">
        <f>-O76</f>
        <v>-1910</v>
      </c>
      <c r="Q76" s="118"/>
      <c r="R76" s="118"/>
      <c r="S76" s="118"/>
      <c r="T76" s="108"/>
      <c r="U76" s="238"/>
      <c r="V76" s="108"/>
    </row>
    <row r="77" spans="1:22" ht="31.5" x14ac:dyDescent="0.25">
      <c r="A77" s="116"/>
      <c r="B77" s="197">
        <v>5020321013</v>
      </c>
      <c r="C77" s="128" t="s">
        <v>314</v>
      </c>
      <c r="D77" s="286">
        <f>IFERROR(VLOOKUP(B77,'WORKING PAPER FC1'!$A$19:$B$31,2,FALSE),0)</f>
        <v>-199740</v>
      </c>
      <c r="E77" s="128"/>
      <c r="F77" s="286"/>
      <c r="G77" s="118">
        <f>+D77</f>
        <v>-199740</v>
      </c>
      <c r="H77" s="128" t="s">
        <v>314</v>
      </c>
      <c r="I77" s="118">
        <f t="shared" si="7"/>
        <v>199740</v>
      </c>
      <c r="J77" s="118"/>
      <c r="K77" s="202">
        <f t="shared" si="13"/>
        <v>-199740</v>
      </c>
      <c r="L77" s="229">
        <v>1040513000</v>
      </c>
      <c r="M77" s="118" t="s">
        <v>315</v>
      </c>
      <c r="N77" s="118"/>
      <c r="O77" s="118">
        <f t="shared" si="11"/>
        <v>199740</v>
      </c>
      <c r="P77" s="118">
        <f>-O77</f>
        <v>-199740</v>
      </c>
      <c r="Q77" s="118"/>
      <c r="R77" s="118"/>
      <c r="S77" s="118"/>
      <c r="T77" s="108"/>
      <c r="U77" s="238"/>
      <c r="V77" s="108"/>
    </row>
    <row r="78" spans="1:22" ht="31.5" x14ac:dyDescent="0.25">
      <c r="A78" s="116"/>
      <c r="B78" s="197">
        <v>5050105003</v>
      </c>
      <c r="C78" s="128" t="s">
        <v>277</v>
      </c>
      <c r="D78" s="286">
        <f>IFERROR(VLOOKUP(B78,'WORKING PAPER FC1'!$A$19:$B$31,2,FALSE),0)</f>
        <v>0</v>
      </c>
      <c r="E78" s="128"/>
      <c r="F78" s="286">
        <f>IFERROR(VLOOKUP(B78,'WORKING PAPER FC1'!$A$11:$B$12,2,FALSE),0)</f>
        <v>0</v>
      </c>
      <c r="G78" s="118">
        <f>-49685.22</f>
        <v>-49685.22</v>
      </c>
      <c r="H78" s="128" t="s">
        <v>277</v>
      </c>
      <c r="I78" s="118">
        <f t="shared" si="7"/>
        <v>49685.22</v>
      </c>
      <c r="J78" s="118"/>
      <c r="K78" s="202">
        <f t="shared" si="13"/>
        <v>-49685.22</v>
      </c>
      <c r="L78" s="229">
        <v>1060503100</v>
      </c>
      <c r="M78" s="129" t="s">
        <v>278</v>
      </c>
      <c r="N78" s="118"/>
      <c r="O78" s="118">
        <f t="shared" si="11"/>
        <v>49685.22</v>
      </c>
      <c r="P78" s="118">
        <f>-O78</f>
        <v>-49685.22</v>
      </c>
      <c r="Q78" s="118"/>
      <c r="R78" s="118"/>
      <c r="S78" s="118"/>
      <c r="T78" s="108"/>
      <c r="U78" s="238"/>
      <c r="V78" s="108"/>
    </row>
    <row r="79" spans="1:22" ht="31.5" x14ac:dyDescent="0.25">
      <c r="A79" s="116"/>
      <c r="B79" s="197">
        <v>5050108002</v>
      </c>
      <c r="C79" s="128" t="s">
        <v>325</v>
      </c>
      <c r="D79" s="286"/>
      <c r="E79" s="128"/>
      <c r="F79" s="286"/>
      <c r="G79" s="118">
        <f>'WORKING PAPER FC1'!L25</f>
        <v>49685.19</v>
      </c>
      <c r="H79" s="128" t="s">
        <v>325</v>
      </c>
      <c r="I79" s="118"/>
      <c r="J79" s="118">
        <f>G79</f>
        <v>49685.19</v>
      </c>
      <c r="K79" s="202">
        <f>J79*-1</f>
        <v>-49685.19</v>
      </c>
      <c r="L79" s="229">
        <v>1060803100</v>
      </c>
      <c r="M79" s="129" t="s">
        <v>86</v>
      </c>
      <c r="N79" s="118">
        <v>49685.19</v>
      </c>
      <c r="O79" s="118"/>
      <c r="P79" s="118">
        <f>N79</f>
        <v>49685.19</v>
      </c>
      <c r="Q79" s="118"/>
      <c r="R79" s="118"/>
      <c r="S79" s="118"/>
      <c r="T79" s="108"/>
      <c r="U79" s="238"/>
      <c r="V79" s="108"/>
    </row>
    <row r="80" spans="1:22" ht="31.5" x14ac:dyDescent="0.25">
      <c r="A80" s="116"/>
      <c r="B80" s="197">
        <v>5029904000</v>
      </c>
      <c r="C80" s="128" t="s">
        <v>292</v>
      </c>
      <c r="D80" s="286">
        <f>IFERROR(VLOOKUP(B80,'WORKING PAPER FC1'!$A$19:$B$31,2,FALSE),0)</f>
        <v>0</v>
      </c>
      <c r="E80" s="128"/>
      <c r="F80" s="286">
        <f>IFERROR(VLOOKUP(B80,'WORKING PAPER FC1'!$A$11:$B$12,2,FALSE),0)</f>
        <v>0</v>
      </c>
      <c r="G80" s="118">
        <f>-950000</f>
        <v>-950000</v>
      </c>
      <c r="H80" s="128" t="s">
        <v>292</v>
      </c>
      <c r="I80" s="118">
        <f t="shared" si="7"/>
        <v>950000</v>
      </c>
      <c r="J80" s="118"/>
      <c r="K80" s="202">
        <f t="shared" si="13"/>
        <v>-950000</v>
      </c>
      <c r="L80" s="229">
        <v>2010101000</v>
      </c>
      <c r="M80" s="118" t="s">
        <v>25</v>
      </c>
      <c r="N80" s="118"/>
      <c r="O80" s="118">
        <f t="shared" si="11"/>
        <v>950000</v>
      </c>
      <c r="P80" s="118"/>
      <c r="Q80" s="118">
        <f>O80</f>
        <v>950000</v>
      </c>
      <c r="R80" s="118"/>
      <c r="S80" s="118"/>
      <c r="T80" s="108"/>
      <c r="U80" s="238"/>
      <c r="V80" s="108"/>
    </row>
    <row r="81" spans="1:22" s="127" customFormat="1" ht="31.5" x14ac:dyDescent="0.25">
      <c r="A81" s="122"/>
      <c r="B81" s="198"/>
      <c r="C81" s="123" t="s">
        <v>71</v>
      </c>
      <c r="D81" s="123"/>
      <c r="E81" s="123"/>
      <c r="F81" s="286">
        <f>IFERROR(VLOOKUP(B81,'WORKING PAPER FC1'!$A$11:$B$12,2,FALSE),0)</f>
        <v>0</v>
      </c>
      <c r="G81" s="124"/>
      <c r="H81" s="125"/>
      <c r="I81" s="124"/>
      <c r="J81" s="124"/>
      <c r="K81" s="204"/>
      <c r="L81" s="228"/>
      <c r="M81" s="124"/>
      <c r="N81" s="124"/>
      <c r="O81" s="124"/>
      <c r="P81" s="124"/>
      <c r="Q81" s="118"/>
      <c r="R81" s="124"/>
      <c r="S81" s="124"/>
      <c r="T81" s="126"/>
      <c r="U81" s="126"/>
      <c r="V81" s="126"/>
    </row>
    <row r="82" spans="1:22" ht="31.5" x14ac:dyDescent="0.25">
      <c r="A82" s="116"/>
      <c r="B82" s="197">
        <v>5021499000</v>
      </c>
      <c r="C82" s="128" t="s">
        <v>253</v>
      </c>
      <c r="D82" s="128"/>
      <c r="E82" s="128"/>
      <c r="F82" s="286"/>
      <c r="G82" s="118">
        <f>10265.13</f>
        <v>10265.129999999999</v>
      </c>
      <c r="H82" s="132" t="s">
        <v>34</v>
      </c>
      <c r="I82" s="118"/>
      <c r="J82" s="118">
        <v>10265.129999999999</v>
      </c>
      <c r="K82" s="202">
        <f>J82</f>
        <v>10265.129999999999</v>
      </c>
      <c r="L82" s="229">
        <v>1040202000</v>
      </c>
      <c r="M82" s="118" t="s">
        <v>36</v>
      </c>
      <c r="N82" s="118">
        <f>J82</f>
        <v>10265.129999999999</v>
      </c>
      <c r="O82" s="118"/>
      <c r="P82" s="118">
        <f>N82</f>
        <v>10265.129999999999</v>
      </c>
      <c r="Q82" s="118"/>
      <c r="R82" s="118"/>
      <c r="S82" s="118"/>
      <c r="T82" s="108"/>
      <c r="U82" s="108"/>
      <c r="V82" s="108"/>
    </row>
    <row r="83" spans="1:22" ht="31.5" x14ac:dyDescent="0.25">
      <c r="A83" s="116"/>
      <c r="B83" s="197">
        <v>5020301001</v>
      </c>
      <c r="C83" s="128" t="s">
        <v>239</v>
      </c>
      <c r="D83" s="128"/>
      <c r="E83" s="128"/>
      <c r="F83" s="286"/>
      <c r="G83" s="118">
        <f>209080</f>
        <v>209080</v>
      </c>
      <c r="H83" s="128" t="s">
        <v>239</v>
      </c>
      <c r="I83" s="118"/>
      <c r="J83" s="118">
        <f>G83</f>
        <v>209080</v>
      </c>
      <c r="K83" s="202">
        <f>J83</f>
        <v>209080</v>
      </c>
      <c r="L83" s="229">
        <v>1040503000</v>
      </c>
      <c r="M83" s="129" t="s">
        <v>291</v>
      </c>
      <c r="N83" s="118">
        <f>J83</f>
        <v>209080</v>
      </c>
      <c r="O83" s="118"/>
      <c r="P83" s="118">
        <f>N83</f>
        <v>209080</v>
      </c>
      <c r="Q83" s="118"/>
      <c r="R83" s="118"/>
      <c r="S83" s="118"/>
      <c r="T83" s="108"/>
      <c r="U83" s="108"/>
      <c r="V83" s="108"/>
    </row>
    <row r="84" spans="1:22" s="127" customFormat="1" ht="31.5" x14ac:dyDescent="0.25">
      <c r="A84" s="122"/>
      <c r="B84" s="198"/>
      <c r="C84" s="123" t="s">
        <v>87</v>
      </c>
      <c r="D84" s="123"/>
      <c r="E84" s="123"/>
      <c r="F84" s="286"/>
      <c r="G84" s="124"/>
      <c r="H84" s="125"/>
      <c r="I84" s="124"/>
      <c r="J84" s="124"/>
      <c r="K84" s="204"/>
      <c r="L84" s="228"/>
      <c r="M84" s="125"/>
      <c r="N84" s="124"/>
      <c r="O84" s="124"/>
      <c r="P84" s="124"/>
      <c r="Q84" s="124"/>
      <c r="R84" s="124"/>
      <c r="S84" s="124"/>
      <c r="T84" s="126"/>
      <c r="U84" s="126"/>
      <c r="V84" s="126"/>
    </row>
    <row r="85" spans="1:22" x14ac:dyDescent="0.25">
      <c r="A85" s="116"/>
      <c r="B85" s="197">
        <v>5021499000</v>
      </c>
      <c r="C85" s="128" t="s">
        <v>88</v>
      </c>
      <c r="D85" s="128"/>
      <c r="E85" s="128"/>
      <c r="F85" s="286"/>
      <c r="G85" s="133">
        <f>-'[13]CDJ LGU (VL)'!$H$12-'[18]CDJ LGU (VL)'!$H$12-'[17]CDJ LGU (VL)'!$H$12+[19]TB!$Q$122-[19]TB!$P$122-15605574.75-6987608.61+'WORKING PAPER FC1'!B4+'WORKING PAPER FC1'!L5+'WORKING PAPER FC1'!U5</f>
        <v>-96687582.660000011</v>
      </c>
      <c r="H85" s="132" t="s">
        <v>34</v>
      </c>
      <c r="I85" s="118">
        <f>G85*-1</f>
        <v>96687582.660000011</v>
      </c>
      <c r="J85" s="118"/>
      <c r="K85" s="202">
        <f t="shared" ref="K85:K87" si="15">G85</f>
        <v>-96687582.660000011</v>
      </c>
      <c r="L85" s="231">
        <v>1030303000</v>
      </c>
      <c r="M85" s="129" t="s">
        <v>89</v>
      </c>
      <c r="N85" s="118"/>
      <c r="O85" s="118">
        <f t="shared" ref="O85:O89" si="16">I85</f>
        <v>96687582.660000011</v>
      </c>
      <c r="P85" s="118">
        <f>-O85+N85</f>
        <v>-96687582.660000011</v>
      </c>
      <c r="Q85" s="118"/>
      <c r="R85" s="118"/>
      <c r="S85" s="118"/>
      <c r="T85" s="108"/>
      <c r="U85" s="108"/>
      <c r="V85" s="108"/>
    </row>
    <row r="86" spans="1:22" x14ac:dyDescent="0.25">
      <c r="A86" s="116"/>
      <c r="B86" s="197">
        <v>5021499000</v>
      </c>
      <c r="C86" s="128" t="s">
        <v>90</v>
      </c>
      <c r="D86" s="128"/>
      <c r="E86" s="128"/>
      <c r="F86" s="286"/>
      <c r="G86" s="133">
        <f>-'[13]SDO-NIKKI'!$H$11-'[13]SDO-NIKKI'!$H$671-'[18]SDO-NIKKI'!$H$12-'[17]SDO-NIKKI'!$H$11-[19]TB!$N$122-8457088.15+1057600-74100-312000+'WORKING PAPER FC1'!B5+'WORKING PAPER FC1'!L4+'WORKING PAPER FC1'!U4+2135004.86</f>
        <v>-311949646.88999999</v>
      </c>
      <c r="H86" s="132" t="s">
        <v>34</v>
      </c>
      <c r="I86" s="118">
        <f>G86*-1</f>
        <v>311949646.88999999</v>
      </c>
      <c r="J86" s="118"/>
      <c r="K86" s="202">
        <f t="shared" si="15"/>
        <v>-311949646.88999999</v>
      </c>
      <c r="L86" s="229">
        <v>1990103000</v>
      </c>
      <c r="M86" s="129" t="s">
        <v>91</v>
      </c>
      <c r="N86" s="118"/>
      <c r="O86" s="118">
        <f t="shared" si="16"/>
        <v>311949646.88999999</v>
      </c>
      <c r="P86" s="118">
        <f>-O86</f>
        <v>-311949646.88999999</v>
      </c>
      <c r="Q86" s="118"/>
      <c r="R86" s="118"/>
      <c r="S86" s="118"/>
      <c r="T86" s="108"/>
      <c r="U86" s="108"/>
      <c r="V86" s="108"/>
    </row>
    <row r="87" spans="1:22" x14ac:dyDescent="0.25">
      <c r="A87" s="116"/>
      <c r="B87" s="197">
        <v>5021499000</v>
      </c>
      <c r="C87" s="128" t="s">
        <v>92</v>
      </c>
      <c r="D87" s="128"/>
      <c r="E87" s="128"/>
      <c r="F87" s="286"/>
      <c r="G87" s="133">
        <f>-'[13]SDO-NIKKI'!$H$573-'[18]SDO-NIKKI'!$H$283-'[17]SDO-NIKKI'!$H$283-3000000-2075000+'WORKING PAPER FC1'!U17-2135004.86</f>
        <v>-15371506.859999999</v>
      </c>
      <c r="H87" s="132" t="s">
        <v>34</v>
      </c>
      <c r="I87" s="118">
        <f>G87*-1</f>
        <v>15371506.859999999</v>
      </c>
      <c r="J87" s="118"/>
      <c r="K87" s="202">
        <f t="shared" si="15"/>
        <v>-15371506.859999999</v>
      </c>
      <c r="L87" s="229">
        <v>1010102000</v>
      </c>
      <c r="M87" s="129" t="s">
        <v>93</v>
      </c>
      <c r="N87" s="118"/>
      <c r="O87" s="118">
        <f t="shared" si="16"/>
        <v>15371506.859999999</v>
      </c>
      <c r="P87" s="118">
        <f>-O87</f>
        <v>-15371506.859999999</v>
      </c>
      <c r="Q87" s="118"/>
      <c r="R87" s="118"/>
      <c r="S87" s="118"/>
      <c r="T87" s="108"/>
      <c r="U87" s="108"/>
      <c r="V87" s="108"/>
    </row>
    <row r="88" spans="1:22" x14ac:dyDescent="0.25">
      <c r="A88" s="116"/>
      <c r="B88" s="197">
        <v>5021601000</v>
      </c>
      <c r="C88" s="128" t="s">
        <v>94</v>
      </c>
      <c r="D88" s="128"/>
      <c r="E88" s="128"/>
      <c r="F88" s="286"/>
      <c r="G88" s="133">
        <f>-'[13]SDO-NIKKI'!$H$636+'[13]SDO-NIKKI'!$I$713</f>
        <v>-177381.93</v>
      </c>
      <c r="H88" s="132" t="s">
        <v>58</v>
      </c>
      <c r="I88" s="118">
        <f>G88*-1-J88</f>
        <v>177375.49</v>
      </c>
      <c r="J88" s="118">
        <f>'[13]SDO-NIKKI'!$H$712</f>
        <v>6.44</v>
      </c>
      <c r="K88" s="202">
        <f>-I88-J88</f>
        <v>-177381.93</v>
      </c>
      <c r="L88" s="229">
        <v>1990102000</v>
      </c>
      <c r="M88" s="129" t="s">
        <v>95</v>
      </c>
      <c r="N88" s="118">
        <f>J88</f>
        <v>6.44</v>
      </c>
      <c r="O88" s="118">
        <f t="shared" si="16"/>
        <v>177375.49</v>
      </c>
      <c r="P88" s="118">
        <f>-(O88+N88)</f>
        <v>-177381.93</v>
      </c>
      <c r="Q88" s="118"/>
      <c r="R88" s="118"/>
      <c r="S88" s="118"/>
      <c r="T88" s="108"/>
      <c r="U88" s="108"/>
      <c r="V88" s="108"/>
    </row>
    <row r="89" spans="1:22" x14ac:dyDescent="0.25">
      <c r="A89" s="116"/>
      <c r="B89" s="197">
        <v>5021499000</v>
      </c>
      <c r="C89" s="128" t="s">
        <v>328</v>
      </c>
      <c r="D89" s="128"/>
      <c r="E89" s="128"/>
      <c r="F89" s="286"/>
      <c r="G89" s="133">
        <f>'WORKING PAPER FC1'!L27</f>
        <v>-21250000</v>
      </c>
      <c r="H89" s="132" t="s">
        <v>34</v>
      </c>
      <c r="I89" s="118">
        <f>G89*-1-J89</f>
        <v>21250000</v>
      </c>
      <c r="J89" s="118"/>
      <c r="K89" s="202">
        <f>-I89-J89</f>
        <v>-21250000</v>
      </c>
      <c r="L89" s="229">
        <v>1039999000</v>
      </c>
      <c r="M89" s="129" t="s">
        <v>215</v>
      </c>
      <c r="N89" s="118"/>
      <c r="O89" s="118">
        <f t="shared" si="16"/>
        <v>21250000</v>
      </c>
      <c r="P89" s="118">
        <f>-(O89+N89)</f>
        <v>-21250000</v>
      </c>
      <c r="Q89" s="118"/>
      <c r="R89" s="118"/>
      <c r="S89" s="118"/>
      <c r="T89" s="108"/>
      <c r="U89" s="108"/>
      <c r="V89" s="108"/>
    </row>
    <row r="90" spans="1:22" x14ac:dyDescent="0.25">
      <c r="A90" s="116"/>
      <c r="B90" s="197">
        <v>5021499000</v>
      </c>
      <c r="C90" s="128" t="s">
        <v>327</v>
      </c>
      <c r="D90" s="128"/>
      <c r="E90" s="128"/>
      <c r="F90" s="286"/>
      <c r="G90" s="133">
        <f>'WORKING PAPER FC1'!L28</f>
        <v>-19626768</v>
      </c>
      <c r="H90" s="132" t="s">
        <v>34</v>
      </c>
      <c r="I90" s="118">
        <v>19626768</v>
      </c>
      <c r="J90" s="118"/>
      <c r="K90" s="202">
        <f>-I90-J90</f>
        <v>-19626768</v>
      </c>
      <c r="L90" s="229">
        <v>1030301000</v>
      </c>
      <c r="M90" s="129" t="s">
        <v>100</v>
      </c>
      <c r="N90" s="118"/>
      <c r="O90" s="118">
        <f>G90*-1</f>
        <v>19626768</v>
      </c>
      <c r="P90" s="118">
        <f>-(O90+N90)</f>
        <v>-19626768</v>
      </c>
      <c r="Q90" s="118"/>
      <c r="R90" s="118"/>
      <c r="S90" s="118"/>
      <c r="T90" s="108"/>
      <c r="U90" s="108"/>
      <c r="V90" s="108"/>
    </row>
    <row r="91" spans="1:22" x14ac:dyDescent="0.25">
      <c r="A91" s="116"/>
      <c r="B91" s="197">
        <v>1030301000</v>
      </c>
      <c r="C91" s="128" t="s">
        <v>327</v>
      </c>
      <c r="D91" s="128"/>
      <c r="E91" s="128"/>
      <c r="F91" s="286"/>
      <c r="G91" s="133">
        <f>+'WORKING PAPER FC1'!U16</f>
        <v>9488.57</v>
      </c>
      <c r="H91" s="132"/>
      <c r="I91" s="118"/>
      <c r="J91" s="118"/>
      <c r="K91" s="202"/>
      <c r="L91" s="229">
        <v>2020105000</v>
      </c>
      <c r="M91" s="129" t="s">
        <v>344</v>
      </c>
      <c r="N91" s="118">
        <v>9488.57</v>
      </c>
      <c r="O91" s="118"/>
      <c r="P91" s="118"/>
      <c r="Q91" s="118">
        <f>-N91</f>
        <v>-9488.57</v>
      </c>
      <c r="R91" s="118"/>
      <c r="S91" s="118">
        <f>+G91</f>
        <v>9488.57</v>
      </c>
      <c r="T91" s="108"/>
      <c r="U91" s="108"/>
      <c r="V91" s="108"/>
    </row>
    <row r="92" spans="1:22" x14ac:dyDescent="0.25">
      <c r="A92" s="116"/>
      <c r="B92" s="197"/>
      <c r="C92" s="123" t="s">
        <v>101</v>
      </c>
      <c r="D92" s="123"/>
      <c r="E92" s="123"/>
      <c r="F92" s="286"/>
      <c r="G92" s="133"/>
      <c r="H92" s="132"/>
      <c r="I92" s="118"/>
      <c r="J92" s="118"/>
      <c r="K92" s="202"/>
      <c r="L92" s="229"/>
      <c r="M92" s="129"/>
      <c r="N92" s="118"/>
      <c r="O92" s="118"/>
      <c r="P92" s="118"/>
      <c r="Q92" s="118"/>
      <c r="R92" s="118"/>
      <c r="S92" s="118"/>
      <c r="T92" s="108"/>
      <c r="U92" s="108"/>
      <c r="V92" s="108"/>
    </row>
    <row r="93" spans="1:22" x14ac:dyDescent="0.25">
      <c r="A93" s="116"/>
      <c r="B93" s="197">
        <v>5021199000</v>
      </c>
      <c r="C93" s="117" t="s">
        <v>245</v>
      </c>
      <c r="D93" s="117"/>
      <c r="E93" s="117"/>
      <c r="F93" s="286"/>
      <c r="G93" s="133">
        <f>'[13]JEV-GJ.'!$I$1840+'WORKING PAPER FC1'!L11</f>
        <v>88841.5</v>
      </c>
      <c r="H93" s="117" t="s">
        <v>53</v>
      </c>
      <c r="I93" s="133"/>
      <c r="J93" s="118">
        <f>G93</f>
        <v>88841.5</v>
      </c>
      <c r="K93" s="202">
        <f>G93</f>
        <v>88841.5</v>
      </c>
      <c r="L93" s="229">
        <v>2010101000</v>
      </c>
      <c r="M93" s="129" t="s">
        <v>114</v>
      </c>
      <c r="N93" s="118">
        <f>J93</f>
        <v>88841.5</v>
      </c>
      <c r="O93" s="118"/>
      <c r="P93" s="118">
        <f>-O93</f>
        <v>0</v>
      </c>
      <c r="Q93" s="118">
        <f>-N93</f>
        <v>-88841.5</v>
      </c>
      <c r="R93" s="118"/>
      <c r="S93" s="118"/>
      <c r="T93" s="108"/>
      <c r="U93" s="108"/>
      <c r="V93" s="108"/>
    </row>
    <row r="94" spans="1:22" ht="31.5" x14ac:dyDescent="0.25">
      <c r="A94" s="116"/>
      <c r="B94" s="197">
        <v>4030107000</v>
      </c>
      <c r="C94" s="117" t="s">
        <v>241</v>
      </c>
      <c r="D94" s="117"/>
      <c r="E94" s="117"/>
      <c r="F94" s="286"/>
      <c r="G94" s="133"/>
      <c r="H94" s="117" t="s">
        <v>241</v>
      </c>
      <c r="I94" s="118">
        <v>2459205</v>
      </c>
      <c r="J94" s="118">
        <v>2459205</v>
      </c>
      <c r="K94" s="202">
        <f>J94-I94</f>
        <v>0</v>
      </c>
      <c r="L94" s="229">
        <v>1040202000</v>
      </c>
      <c r="M94" s="129" t="s">
        <v>36</v>
      </c>
      <c r="N94" s="118">
        <f>J94</f>
        <v>2459205</v>
      </c>
      <c r="O94" s="118">
        <f>I94</f>
        <v>2459205</v>
      </c>
      <c r="P94" s="118">
        <f>-O94+N94</f>
        <v>0</v>
      </c>
      <c r="Q94" s="118"/>
      <c r="R94" s="118"/>
      <c r="S94" s="118"/>
      <c r="T94" s="108"/>
      <c r="U94" s="108"/>
      <c r="V94" s="108"/>
    </row>
    <row r="95" spans="1:22" x14ac:dyDescent="0.25">
      <c r="A95" s="116"/>
      <c r="B95" s="197"/>
      <c r="C95" s="117" t="s">
        <v>243</v>
      </c>
      <c r="D95" s="117"/>
      <c r="E95" s="117"/>
      <c r="F95" s="286"/>
      <c r="G95" s="133">
        <f>'[18]JEV-GJ.'!$I$4481</f>
        <v>605907.75</v>
      </c>
      <c r="H95" s="117"/>
      <c r="I95" s="133"/>
      <c r="J95" s="118"/>
      <c r="K95" s="202"/>
      <c r="L95" s="229">
        <v>1060601000</v>
      </c>
      <c r="M95" s="129" t="s">
        <v>106</v>
      </c>
      <c r="N95" s="118">
        <v>605907.75</v>
      </c>
      <c r="O95" s="118"/>
      <c r="P95" s="118">
        <f t="shared" ref="P95:P96" si="17">N95</f>
        <v>605907.75</v>
      </c>
      <c r="Q95" s="118"/>
      <c r="R95" s="118"/>
      <c r="S95" s="118">
        <v>605907.75</v>
      </c>
      <c r="T95" s="108"/>
      <c r="U95" s="108"/>
      <c r="V95" s="108"/>
    </row>
    <row r="96" spans="1:22" x14ac:dyDescent="0.25">
      <c r="A96" s="116"/>
      <c r="B96" s="197">
        <v>5021499000</v>
      </c>
      <c r="C96" s="117" t="s">
        <v>246</v>
      </c>
      <c r="D96" s="117"/>
      <c r="E96" s="117"/>
      <c r="F96" s="286"/>
      <c r="G96" s="133">
        <v>-503000</v>
      </c>
      <c r="H96" s="117" t="s">
        <v>34</v>
      </c>
      <c r="I96" s="118">
        <f>G96*-1-J96</f>
        <v>503000</v>
      </c>
      <c r="J96" s="118"/>
      <c r="K96" s="202">
        <f>G96</f>
        <v>-503000</v>
      </c>
      <c r="L96" s="229">
        <v>2010101000</v>
      </c>
      <c r="M96" s="129" t="s">
        <v>25</v>
      </c>
      <c r="N96" s="118"/>
      <c r="O96" s="118">
        <f>I96</f>
        <v>503000</v>
      </c>
      <c r="P96" s="118">
        <f t="shared" si="17"/>
        <v>0</v>
      </c>
      <c r="Q96" s="118">
        <f>O96</f>
        <v>503000</v>
      </c>
      <c r="R96" s="118"/>
      <c r="S96" s="118"/>
      <c r="T96" s="108"/>
      <c r="U96" s="108"/>
      <c r="V96" s="108"/>
    </row>
    <row r="97" spans="1:23" ht="31.5" x14ac:dyDescent="0.25">
      <c r="A97" s="116"/>
      <c r="B97" s="197">
        <v>4069999000</v>
      </c>
      <c r="C97" s="117" t="s">
        <v>261</v>
      </c>
      <c r="D97" s="117"/>
      <c r="E97" s="117"/>
      <c r="F97" s="286">
        <f>IFERROR(VLOOKUP(B97,'WORKING PAPER FC1'!$A$11:$B$12,2,FALSE),0)</f>
        <v>0</v>
      </c>
      <c r="G97" s="133">
        <f>-45000-300</f>
        <v>-45300</v>
      </c>
      <c r="H97" s="117"/>
      <c r="I97" s="118"/>
      <c r="J97" s="118"/>
      <c r="K97" s="202"/>
      <c r="L97" s="229">
        <v>1010202016</v>
      </c>
      <c r="M97" s="129" t="s">
        <v>220</v>
      </c>
      <c r="N97" s="118"/>
      <c r="O97" s="118">
        <f>G97*-1</f>
        <v>45300</v>
      </c>
      <c r="P97" s="118">
        <f>-O97</f>
        <v>-45300</v>
      </c>
      <c r="Q97" s="118"/>
      <c r="R97" s="118"/>
      <c r="S97" s="118">
        <v>-45300</v>
      </c>
      <c r="T97" s="108"/>
      <c r="U97" s="108"/>
      <c r="V97" s="108"/>
    </row>
    <row r="98" spans="1:23" ht="31.5" x14ac:dyDescent="0.25">
      <c r="A98" s="116"/>
      <c r="B98" s="197">
        <v>2020102001</v>
      </c>
      <c r="C98" s="117" t="s">
        <v>281</v>
      </c>
      <c r="D98" s="117"/>
      <c r="E98" s="117"/>
      <c r="F98" s="286">
        <f>IFERROR(VLOOKUP(B98,'WORKING PAPER FC1'!$A$11:$B$12,2,FALSE),0)</f>
        <v>0</v>
      </c>
      <c r="G98" s="133">
        <f>60764.22</f>
        <v>60764.22</v>
      </c>
      <c r="H98" s="117" t="s">
        <v>279</v>
      </c>
      <c r="I98" s="118">
        <f>G98</f>
        <v>60764.22</v>
      </c>
      <c r="J98" s="118"/>
      <c r="K98" s="202">
        <f>-G98</f>
        <v>-60764.22</v>
      </c>
      <c r="L98" s="229">
        <v>5010102000</v>
      </c>
      <c r="M98" s="129" t="s">
        <v>280</v>
      </c>
      <c r="N98" s="118"/>
      <c r="O98" s="118">
        <f>G98</f>
        <v>60764.22</v>
      </c>
      <c r="P98" s="118"/>
      <c r="Q98" s="118">
        <f>-O98</f>
        <v>-60764.22</v>
      </c>
      <c r="R98" s="118"/>
      <c r="S98" s="118"/>
      <c r="T98" s="108"/>
      <c r="U98" s="108"/>
      <c r="V98" s="108"/>
    </row>
    <row r="99" spans="1:23" ht="31.5" x14ac:dyDescent="0.25">
      <c r="A99" s="116"/>
      <c r="B99" s="197">
        <v>2020103002</v>
      </c>
      <c r="C99" s="117" t="s">
        <v>282</v>
      </c>
      <c r="D99" s="117"/>
      <c r="E99" s="117"/>
      <c r="F99" s="286">
        <f>IFERROR(VLOOKUP(B99,'WORKING PAPER FC1'!$A$11:$B$12,2,FALSE),0)</f>
        <v>0</v>
      </c>
      <c r="G99" s="133">
        <f>3592.5</f>
        <v>3592.5</v>
      </c>
      <c r="H99" s="117" t="s">
        <v>283</v>
      </c>
      <c r="I99" s="118">
        <f>G99</f>
        <v>3592.5</v>
      </c>
      <c r="J99" s="118"/>
      <c r="K99" s="202">
        <f>-G99</f>
        <v>-3592.5</v>
      </c>
      <c r="L99" s="229">
        <v>5010102000</v>
      </c>
      <c r="M99" s="129" t="s">
        <v>280</v>
      </c>
      <c r="N99" s="118"/>
      <c r="O99" s="118">
        <f>G99</f>
        <v>3592.5</v>
      </c>
      <c r="P99" s="118"/>
      <c r="Q99" s="118">
        <f>-O99</f>
        <v>-3592.5</v>
      </c>
      <c r="R99" s="118"/>
      <c r="S99" s="118"/>
      <c r="T99" s="108"/>
      <c r="U99" s="108"/>
      <c r="V99" s="108"/>
    </row>
    <row r="100" spans="1:23" x14ac:dyDescent="0.25">
      <c r="A100" s="116"/>
      <c r="B100" s="197">
        <v>2020103001</v>
      </c>
      <c r="C100" s="117" t="s">
        <v>284</v>
      </c>
      <c r="D100" s="117"/>
      <c r="E100" s="117"/>
      <c r="F100" s="286">
        <f>IFERROR(VLOOKUP(B100,'WORKING PAPER FC1'!$A$11:$B$12,2,FALSE),0)</f>
        <v>0</v>
      </c>
      <c r="G100" s="133">
        <v>2500</v>
      </c>
      <c r="H100" s="117" t="s">
        <v>285</v>
      </c>
      <c r="I100" s="118">
        <f>G100</f>
        <v>2500</v>
      </c>
      <c r="J100" s="118"/>
      <c r="K100" s="202">
        <f>-G100</f>
        <v>-2500</v>
      </c>
      <c r="L100" s="229">
        <v>5010102000</v>
      </c>
      <c r="M100" s="129" t="s">
        <v>280</v>
      </c>
      <c r="N100" s="118"/>
      <c r="O100" s="118">
        <f>G100</f>
        <v>2500</v>
      </c>
      <c r="P100" s="118"/>
      <c r="Q100" s="118">
        <f>-O100</f>
        <v>-2500</v>
      </c>
      <c r="R100" s="118"/>
      <c r="S100" s="118"/>
      <c r="T100" s="108"/>
      <c r="U100" s="108"/>
      <c r="V100" s="108"/>
    </row>
    <row r="101" spans="1:23" x14ac:dyDescent="0.25">
      <c r="A101" s="116"/>
      <c r="B101" s="197">
        <v>2020103001</v>
      </c>
      <c r="C101" s="117" t="s">
        <v>286</v>
      </c>
      <c r="D101" s="117"/>
      <c r="E101" s="117"/>
      <c r="F101" s="286">
        <f>IFERROR(VLOOKUP(B101,'WORKING PAPER FC1'!$A$11:$B$12,2,FALSE),0)</f>
        <v>0</v>
      </c>
      <c r="G101" s="133">
        <v>4600</v>
      </c>
      <c r="H101" s="117" t="s">
        <v>285</v>
      </c>
      <c r="I101" s="118">
        <v>4600</v>
      </c>
      <c r="J101" s="118"/>
      <c r="K101" s="202">
        <f>-G101</f>
        <v>-4600</v>
      </c>
      <c r="L101" s="229">
        <v>5010302001</v>
      </c>
      <c r="M101" s="129" t="s">
        <v>287</v>
      </c>
      <c r="N101" s="118"/>
      <c r="O101" s="118">
        <f>G101</f>
        <v>4600</v>
      </c>
      <c r="P101" s="118"/>
      <c r="Q101" s="118">
        <f>-O101</f>
        <v>-4600</v>
      </c>
      <c r="R101" s="118"/>
      <c r="S101" s="118"/>
      <c r="T101" s="108"/>
      <c r="U101" s="108"/>
      <c r="V101" s="108"/>
    </row>
    <row r="102" spans="1:23" ht="31.5" x14ac:dyDescent="0.25">
      <c r="A102" s="116"/>
      <c r="B102" s="197">
        <v>2020104000</v>
      </c>
      <c r="C102" s="117" t="s">
        <v>288</v>
      </c>
      <c r="D102" s="117"/>
      <c r="E102" s="117"/>
      <c r="F102" s="286">
        <f>IFERROR(VLOOKUP(B102,'WORKING PAPER FC1'!$A$11:$B$12,2,FALSE),0)</f>
        <v>0</v>
      </c>
      <c r="G102" s="133">
        <f>92570.12+13503.16</f>
        <v>106073.28</v>
      </c>
      <c r="H102" s="117" t="s">
        <v>289</v>
      </c>
      <c r="I102" s="118">
        <f>G102</f>
        <v>106073.28</v>
      </c>
      <c r="J102" s="118"/>
      <c r="K102" s="202">
        <f>-G102</f>
        <v>-106073.28</v>
      </c>
      <c r="L102" s="229">
        <v>5010102000</v>
      </c>
      <c r="M102" s="129" t="s">
        <v>280</v>
      </c>
      <c r="N102" s="118"/>
      <c r="O102" s="118">
        <f>G102</f>
        <v>106073.28</v>
      </c>
      <c r="P102" s="118"/>
      <c r="Q102" s="118">
        <f>-O102</f>
        <v>-106073.28</v>
      </c>
      <c r="R102" s="118"/>
      <c r="S102" s="118"/>
      <c r="T102" s="108"/>
      <c r="U102" s="108"/>
      <c r="V102" s="108"/>
    </row>
    <row r="103" spans="1:23" ht="31.5" x14ac:dyDescent="0.25">
      <c r="A103" s="116"/>
      <c r="B103" s="197">
        <v>5030104000</v>
      </c>
      <c r="C103" s="117" t="s">
        <v>330</v>
      </c>
      <c r="D103" s="117"/>
      <c r="E103" s="117"/>
      <c r="F103" s="286"/>
      <c r="G103" s="133">
        <v>-30</v>
      </c>
      <c r="H103" s="117"/>
      <c r="I103" s="118"/>
      <c r="J103" s="118"/>
      <c r="K103" s="202"/>
      <c r="L103" s="229">
        <v>1010202024</v>
      </c>
      <c r="M103" s="129" t="s">
        <v>331</v>
      </c>
      <c r="N103" s="118"/>
      <c r="O103" s="118">
        <v>30</v>
      </c>
      <c r="P103" s="118"/>
      <c r="Q103" s="118">
        <v>30</v>
      </c>
      <c r="R103" s="118"/>
      <c r="S103" s="118">
        <v>-30</v>
      </c>
      <c r="T103" s="108"/>
      <c r="U103" s="108"/>
      <c r="V103" s="108"/>
    </row>
    <row r="104" spans="1:23" x14ac:dyDescent="0.25">
      <c r="A104" s="116"/>
      <c r="B104" s="197"/>
      <c r="C104" s="117"/>
      <c r="D104" s="117"/>
      <c r="E104" s="117"/>
      <c r="F104" s="117"/>
      <c r="G104" s="133"/>
      <c r="H104" s="117"/>
      <c r="I104" s="118"/>
      <c r="J104" s="118"/>
      <c r="K104" s="202"/>
      <c r="L104" s="229"/>
      <c r="M104" s="129"/>
      <c r="N104" s="118"/>
      <c r="O104" s="118"/>
      <c r="P104" s="118"/>
      <c r="Q104" s="118"/>
      <c r="R104" s="118"/>
      <c r="S104" s="118"/>
      <c r="T104" s="108"/>
      <c r="U104" s="108"/>
      <c r="V104" s="108"/>
    </row>
    <row r="105" spans="1:23" s="104" customFormat="1" x14ac:dyDescent="0.25">
      <c r="A105" s="130" t="s">
        <v>257</v>
      </c>
      <c r="B105" s="246"/>
      <c r="C105" s="131"/>
      <c r="D105" s="131"/>
      <c r="E105" s="131"/>
      <c r="F105" s="131"/>
      <c r="G105" s="113">
        <f>G15+G11+G9</f>
        <v>644128087.21101248</v>
      </c>
      <c r="H105" s="121">
        <v>0</v>
      </c>
      <c r="I105" s="113"/>
      <c r="J105" s="113"/>
      <c r="K105" s="203">
        <f>K15+K11</f>
        <v>-990499082.26898694</v>
      </c>
      <c r="L105" s="230"/>
      <c r="M105" s="113">
        <v>0</v>
      </c>
      <c r="N105" s="113"/>
      <c r="O105" s="113"/>
      <c r="P105" s="113">
        <f>P15+P11</f>
        <v>-957458331.14898705</v>
      </c>
      <c r="Q105" s="113">
        <f>Q15+Q11</f>
        <v>31324689.32</v>
      </c>
      <c r="R105" s="113"/>
      <c r="S105" s="113">
        <f>SUBTOTAL(9,S18:S103)</f>
        <v>570066.31999999995</v>
      </c>
      <c r="T105" s="102"/>
      <c r="U105" s="102"/>
      <c r="V105" s="102"/>
    </row>
    <row r="106" spans="1:23" x14ac:dyDescent="0.25">
      <c r="A106" s="134"/>
      <c r="C106" s="135"/>
      <c r="D106" s="135"/>
      <c r="E106" s="135"/>
      <c r="F106" s="135"/>
      <c r="G106" s="102">
        <f>G105-[20]FC1SGE!$J$15</f>
        <v>1.0130405426025391E-3</v>
      </c>
      <c r="H106" s="136" t="s">
        <v>116</v>
      </c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</row>
    <row r="107" spans="1:23" ht="31.5" x14ac:dyDescent="0.25">
      <c r="A107" s="134"/>
      <c r="C107" s="103" t="s">
        <v>117</v>
      </c>
      <c r="D107" s="103"/>
      <c r="E107" s="103"/>
      <c r="F107" s="103"/>
      <c r="H107" s="103" t="s">
        <v>118</v>
      </c>
      <c r="I107" s="138"/>
      <c r="J107" s="138"/>
      <c r="M107" s="104" t="s">
        <v>119</v>
      </c>
      <c r="N107" s="108"/>
      <c r="O107" s="108"/>
      <c r="P107" s="108"/>
      <c r="Q107" s="107"/>
      <c r="R107" s="104" t="s">
        <v>120</v>
      </c>
      <c r="S107" s="108"/>
      <c r="T107" s="108"/>
      <c r="U107" s="108"/>
      <c r="V107" s="108"/>
    </row>
    <row r="108" spans="1:23" x14ac:dyDescent="0.25">
      <c r="C108" s="139" t="s">
        <v>121</v>
      </c>
      <c r="D108" s="139"/>
      <c r="E108" s="139"/>
      <c r="F108" s="139"/>
      <c r="G108" s="108">
        <f>G105</f>
        <v>644128087.21101248</v>
      </c>
      <c r="H108" s="136"/>
      <c r="J108" s="138"/>
      <c r="M108" s="108"/>
      <c r="N108" s="140" t="s">
        <v>122</v>
      </c>
      <c r="O108" s="141"/>
      <c r="P108" s="108">
        <f>P105</f>
        <v>-957458331.14898705</v>
      </c>
      <c r="Q108" s="108"/>
      <c r="R108" s="108"/>
      <c r="S108" s="108"/>
      <c r="T108" s="108"/>
      <c r="U108" s="108"/>
      <c r="V108" s="108"/>
    </row>
    <row r="109" spans="1:23" x14ac:dyDescent="0.25">
      <c r="C109" s="139" t="s">
        <v>123</v>
      </c>
      <c r="D109" s="139"/>
      <c r="E109" s="139"/>
      <c r="F109" s="139"/>
      <c r="G109" s="108">
        <f>G9</f>
        <v>1632911107.6799994</v>
      </c>
      <c r="M109" s="108"/>
      <c r="N109" s="140" t="s">
        <v>124</v>
      </c>
      <c r="O109" s="141"/>
      <c r="P109" s="108">
        <f>Q105</f>
        <v>31324689.32</v>
      </c>
      <c r="Q109" s="108"/>
      <c r="R109" s="108"/>
      <c r="S109" s="108"/>
      <c r="T109" s="108"/>
      <c r="U109" s="108"/>
      <c r="V109" s="108"/>
    </row>
    <row r="110" spans="1:23" x14ac:dyDescent="0.25">
      <c r="C110" s="142" t="s">
        <v>125</v>
      </c>
      <c r="D110" s="142"/>
      <c r="E110" s="142"/>
      <c r="F110" s="142"/>
      <c r="G110" s="102">
        <f>G108-G109</f>
        <v>-988783020.46898687</v>
      </c>
      <c r="H110" s="142" t="s">
        <v>126</v>
      </c>
      <c r="K110" s="199"/>
      <c r="L110" s="223"/>
      <c r="M110" s="108"/>
      <c r="N110" s="140" t="s">
        <v>127</v>
      </c>
      <c r="O110" s="143"/>
      <c r="P110" s="108"/>
      <c r="Q110" s="108"/>
      <c r="R110" s="102" t="s">
        <v>127</v>
      </c>
      <c r="S110" s="102">
        <f>S105</f>
        <v>570066.31999999995</v>
      </c>
      <c r="T110" s="108"/>
      <c r="U110" s="108"/>
      <c r="V110" s="108"/>
    </row>
    <row r="111" spans="1:23" x14ac:dyDescent="0.25">
      <c r="H111" s="144"/>
      <c r="M111" s="108"/>
      <c r="N111" s="145" t="s">
        <v>128</v>
      </c>
      <c r="O111" s="102"/>
      <c r="P111" s="102"/>
      <c r="Q111" s="102">
        <f>P108-P109+P110</f>
        <v>-988783020.46898711</v>
      </c>
      <c r="R111" s="108"/>
      <c r="S111" s="108"/>
      <c r="T111" s="108"/>
      <c r="U111" s="245"/>
      <c r="V111" s="245"/>
      <c r="W111" s="146"/>
    </row>
    <row r="112" spans="1:23" s="104" customFormat="1" ht="16.5" x14ac:dyDescent="0.3">
      <c r="B112" s="148"/>
      <c r="C112" s="103"/>
      <c r="D112" s="103"/>
      <c r="E112" s="103"/>
      <c r="F112" s="103"/>
      <c r="G112" s="102"/>
      <c r="H112" s="257"/>
      <c r="I112" s="257"/>
      <c r="J112" s="257"/>
      <c r="K112" s="199"/>
      <c r="L112" s="223"/>
      <c r="M112" s="102"/>
      <c r="N112" s="102"/>
      <c r="O112" s="102"/>
      <c r="P112" s="102"/>
      <c r="Q112" s="161">
        <f>G110-Q111</f>
        <v>0</v>
      </c>
      <c r="R112" s="102"/>
      <c r="S112" s="102"/>
      <c r="T112" s="102"/>
      <c r="U112" s="147"/>
      <c r="V112" s="147"/>
      <c r="W112" s="148"/>
    </row>
    <row r="113" spans="2:24" ht="16.5" x14ac:dyDescent="0.3">
      <c r="H113" s="257"/>
      <c r="I113" s="257"/>
      <c r="J113" s="257"/>
      <c r="M113" s="108"/>
      <c r="N113" s="108"/>
      <c r="O113" s="108"/>
      <c r="P113" s="108"/>
      <c r="Q113" s="108"/>
      <c r="R113" s="149"/>
      <c r="S113" s="108"/>
      <c r="T113" s="108"/>
      <c r="U113" s="108"/>
      <c r="V113" s="108"/>
      <c r="W113" s="137"/>
      <c r="X113" s="137"/>
    </row>
    <row r="114" spans="2:24" ht="16.5" x14ac:dyDescent="0.3">
      <c r="C114" s="103" t="s">
        <v>131</v>
      </c>
      <c r="D114" s="103"/>
      <c r="E114" s="103"/>
      <c r="F114" s="103"/>
      <c r="H114" s="258"/>
      <c r="I114" s="258"/>
      <c r="J114" s="258"/>
      <c r="M114" s="108"/>
      <c r="N114" s="108" t="s">
        <v>132</v>
      </c>
      <c r="O114" s="108"/>
      <c r="P114" s="108"/>
      <c r="Q114" s="108"/>
      <c r="R114" s="102"/>
      <c r="S114" s="108"/>
      <c r="T114" s="108"/>
      <c r="U114" s="102"/>
      <c r="V114" s="102"/>
      <c r="W114" s="107"/>
    </row>
    <row r="115" spans="2:24" x14ac:dyDescent="0.25">
      <c r="H115" s="136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  <c r="W115" s="137"/>
    </row>
    <row r="116" spans="2:24" x14ac:dyDescent="0.25">
      <c r="H116" s="144"/>
      <c r="I116" s="104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</row>
    <row r="117" spans="2:24" x14ac:dyDescent="0.25">
      <c r="C117" s="150" t="s">
        <v>256</v>
      </c>
      <c r="D117" s="285"/>
      <c r="E117" s="285"/>
      <c r="F117" s="285"/>
      <c r="H117" s="136"/>
      <c r="M117" s="149"/>
      <c r="N117" s="335" t="s">
        <v>133</v>
      </c>
      <c r="O117" s="335"/>
      <c r="P117" s="335"/>
      <c r="Q117" s="149"/>
      <c r="R117" s="149"/>
      <c r="S117" s="149"/>
      <c r="T117" s="108"/>
      <c r="U117" s="108"/>
      <c r="V117" s="108"/>
    </row>
    <row r="118" spans="2:24" x14ac:dyDescent="0.25">
      <c r="C118" s="112" t="s">
        <v>134</v>
      </c>
      <c r="D118" s="112"/>
      <c r="E118" s="112"/>
      <c r="F118" s="112"/>
      <c r="H118" s="106"/>
      <c r="I118" s="104"/>
      <c r="M118" s="151"/>
      <c r="N118" s="320" t="s">
        <v>135</v>
      </c>
      <c r="O118" s="320"/>
      <c r="P118" s="320"/>
      <c r="Q118" s="151"/>
      <c r="R118" s="151"/>
      <c r="S118" s="151"/>
      <c r="T118" s="108"/>
      <c r="U118" s="108"/>
      <c r="V118" s="108"/>
    </row>
    <row r="120" spans="2:24" x14ac:dyDescent="0.25">
      <c r="B120" s="148"/>
      <c r="C120" s="242"/>
      <c r="D120" s="242"/>
      <c r="E120" s="242"/>
      <c r="F120" s="242"/>
    </row>
    <row r="121" spans="2:24" x14ac:dyDescent="0.25">
      <c r="B121" s="148"/>
      <c r="C121" s="242"/>
      <c r="D121" s="242"/>
      <c r="E121" s="242"/>
      <c r="F121" s="242"/>
      <c r="N121" s="241"/>
      <c r="O121" s="237"/>
      <c r="P121" s="148"/>
      <c r="Q121" s="237"/>
    </row>
    <row r="122" spans="2:24" x14ac:dyDescent="0.25">
      <c r="B122" s="148"/>
      <c r="C122" s="242"/>
      <c r="D122" s="242"/>
      <c r="E122" s="242"/>
      <c r="F122" s="242"/>
      <c r="N122" s="241"/>
      <c r="O122" s="237"/>
      <c r="P122" s="148"/>
      <c r="Q122" s="237"/>
    </row>
    <row r="123" spans="2:24" x14ac:dyDescent="0.25">
      <c r="B123" s="148"/>
      <c r="C123" s="242"/>
      <c r="D123" s="242"/>
      <c r="E123" s="242"/>
      <c r="F123" s="242"/>
      <c r="N123" s="241"/>
      <c r="O123" s="237"/>
      <c r="P123" s="148"/>
      <c r="Q123" s="237"/>
    </row>
    <row r="124" spans="2:24" x14ac:dyDescent="0.25">
      <c r="B124" s="148"/>
      <c r="C124" s="242"/>
      <c r="D124" s="242"/>
      <c r="E124" s="242"/>
      <c r="F124" s="242"/>
      <c r="N124" s="241"/>
      <c r="O124" s="237"/>
      <c r="P124" s="148"/>
      <c r="Q124" s="237"/>
    </row>
    <row r="125" spans="2:24" x14ac:dyDescent="0.25">
      <c r="B125" s="148"/>
      <c r="C125" s="242"/>
      <c r="D125" s="242"/>
      <c r="E125" s="242"/>
      <c r="F125" s="242"/>
      <c r="G125" s="110"/>
      <c r="M125" s="108"/>
      <c r="N125" s="241"/>
      <c r="O125" s="237"/>
      <c r="P125" s="148"/>
      <c r="Q125" s="237"/>
    </row>
    <row r="126" spans="2:24" x14ac:dyDescent="0.25">
      <c r="B126" s="148"/>
      <c r="C126" s="242"/>
      <c r="D126" s="242"/>
      <c r="E126" s="242"/>
      <c r="F126" s="242"/>
      <c r="G126" s="110"/>
      <c r="M126" s="108"/>
      <c r="N126" s="241"/>
      <c r="O126" s="237"/>
      <c r="P126" s="148"/>
      <c r="Q126" s="237"/>
    </row>
    <row r="127" spans="2:24" x14ac:dyDescent="0.25">
      <c r="B127" s="148"/>
      <c r="C127" s="242"/>
      <c r="D127" s="242"/>
      <c r="E127" s="242"/>
      <c r="F127" s="242"/>
      <c r="G127" s="110"/>
      <c r="M127" s="108"/>
      <c r="N127" s="241"/>
      <c r="O127" s="237"/>
      <c r="P127" s="148"/>
      <c r="Q127" s="237"/>
    </row>
    <row r="128" spans="2:24" x14ac:dyDescent="0.25">
      <c r="B128" s="148"/>
      <c r="C128" s="242"/>
      <c r="D128" s="242"/>
      <c r="E128" s="242"/>
      <c r="F128" s="242"/>
      <c r="G128" s="110"/>
      <c r="K128" s="199"/>
      <c r="M128" s="108"/>
      <c r="N128" s="241"/>
      <c r="O128" s="237"/>
      <c r="P128" s="148"/>
      <c r="Q128" s="237"/>
    </row>
    <row r="129" spans="2:17" x14ac:dyDescent="0.25">
      <c r="B129" s="148"/>
      <c r="C129" s="242"/>
      <c r="D129" s="242"/>
      <c r="E129" s="242"/>
      <c r="F129" s="242"/>
      <c r="N129" s="241"/>
      <c r="O129" s="237"/>
      <c r="P129" s="148"/>
      <c r="Q129" s="237"/>
    </row>
    <row r="130" spans="2:17" x14ac:dyDescent="0.25">
      <c r="B130" s="148"/>
      <c r="C130" s="242"/>
      <c r="D130" s="242"/>
      <c r="E130" s="242"/>
      <c r="F130" s="242"/>
      <c r="N130" s="241"/>
      <c r="O130" s="237"/>
      <c r="P130" s="148"/>
      <c r="Q130" s="237"/>
    </row>
    <row r="131" spans="2:17" x14ac:dyDescent="0.25">
      <c r="B131" s="148"/>
      <c r="C131" s="242"/>
      <c r="D131" s="242"/>
      <c r="E131" s="242"/>
      <c r="F131" s="242"/>
      <c r="N131" s="241"/>
      <c r="O131" s="237"/>
      <c r="P131" s="148"/>
      <c r="Q131" s="237"/>
    </row>
    <row r="132" spans="2:17" x14ac:dyDescent="0.25">
      <c r="B132" s="148"/>
      <c r="C132" s="242"/>
      <c r="D132" s="242"/>
      <c r="E132" s="242"/>
      <c r="F132" s="242"/>
      <c r="N132" s="241"/>
      <c r="O132" s="237"/>
      <c r="P132" s="148"/>
      <c r="Q132" s="237"/>
    </row>
    <row r="133" spans="2:17" x14ac:dyDescent="0.25">
      <c r="B133" s="148"/>
      <c r="C133" s="242"/>
      <c r="D133" s="242"/>
      <c r="E133" s="242"/>
      <c r="F133" s="242"/>
      <c r="N133" s="241"/>
      <c r="O133" s="237"/>
      <c r="P133" s="148"/>
      <c r="Q133" s="237"/>
    </row>
    <row r="134" spans="2:17" x14ac:dyDescent="0.25">
      <c r="B134" s="148"/>
      <c r="C134" s="242"/>
      <c r="D134" s="242"/>
      <c r="E134" s="242"/>
      <c r="F134" s="242"/>
      <c r="N134" s="241"/>
      <c r="O134" s="237"/>
      <c r="P134" s="148"/>
      <c r="Q134" s="237"/>
    </row>
    <row r="135" spans="2:17" x14ac:dyDescent="0.25">
      <c r="B135" s="243"/>
      <c r="C135" s="242"/>
      <c r="D135" s="242"/>
      <c r="E135" s="242"/>
      <c r="F135" s="242"/>
      <c r="N135" s="241"/>
      <c r="O135" s="237"/>
      <c r="P135" s="148"/>
      <c r="Q135" s="237"/>
    </row>
    <row r="136" spans="2:17" x14ac:dyDescent="0.25">
      <c r="B136" s="244"/>
      <c r="C136" s="242"/>
      <c r="D136" s="242"/>
      <c r="E136" s="242"/>
      <c r="F136" s="242"/>
      <c r="K136" s="199"/>
      <c r="N136" s="241"/>
      <c r="O136" s="237"/>
      <c r="P136" s="148"/>
      <c r="Q136" s="237"/>
    </row>
    <row r="137" spans="2:17" x14ac:dyDescent="0.25">
      <c r="B137" s="148"/>
      <c r="C137" s="242"/>
      <c r="D137" s="242"/>
      <c r="E137" s="242"/>
      <c r="F137" s="242"/>
      <c r="N137" s="241"/>
      <c r="O137" s="237"/>
      <c r="P137" s="148"/>
      <c r="Q137" s="237"/>
    </row>
    <row r="138" spans="2:17" x14ac:dyDescent="0.25">
      <c r="B138" s="148"/>
      <c r="C138" s="242"/>
      <c r="D138" s="242"/>
      <c r="E138" s="242"/>
      <c r="F138" s="242"/>
      <c r="K138" s="199"/>
      <c r="L138" s="236"/>
      <c r="M138" s="237"/>
      <c r="N138" s="241"/>
      <c r="O138" s="237"/>
      <c r="P138" s="148"/>
      <c r="Q138" s="237"/>
    </row>
    <row r="139" spans="2:17" x14ac:dyDescent="0.25">
      <c r="B139" s="148"/>
      <c r="C139" s="242"/>
      <c r="D139" s="242"/>
      <c r="E139" s="242"/>
      <c r="F139" s="242"/>
      <c r="J139" s="104"/>
      <c r="K139" s="199"/>
      <c r="L139" s="236"/>
      <c r="M139" s="237"/>
      <c r="N139" s="241"/>
      <c r="O139" s="237"/>
      <c r="P139" s="148"/>
      <c r="Q139" s="237"/>
    </row>
    <row r="140" spans="2:17" x14ac:dyDescent="0.25">
      <c r="B140" s="148"/>
      <c r="C140" s="242"/>
      <c r="D140" s="242"/>
      <c r="E140" s="242"/>
      <c r="F140" s="242"/>
      <c r="J140" s="104"/>
      <c r="K140" s="199"/>
      <c r="L140" s="236"/>
      <c r="M140" s="237"/>
      <c r="N140" s="241"/>
      <c r="O140" s="237"/>
      <c r="P140" s="148"/>
      <c r="Q140" s="237"/>
    </row>
    <row r="141" spans="2:17" x14ac:dyDescent="0.25">
      <c r="B141" s="148"/>
      <c r="C141" s="242"/>
      <c r="D141" s="242"/>
      <c r="E141" s="242"/>
      <c r="F141" s="242"/>
      <c r="J141" s="104"/>
      <c r="K141" s="237"/>
      <c r="L141" s="236"/>
      <c r="M141" s="237"/>
      <c r="N141" s="241"/>
      <c r="O141" s="237"/>
      <c r="P141" s="148"/>
      <c r="Q141" s="237"/>
    </row>
    <row r="142" spans="2:17" x14ac:dyDescent="0.25">
      <c r="B142" s="148"/>
      <c r="C142" s="242"/>
      <c r="D142" s="242"/>
      <c r="E142" s="242"/>
      <c r="F142" s="242"/>
      <c r="J142" s="104"/>
      <c r="K142" s="237"/>
      <c r="L142" s="236"/>
      <c r="M142" s="237"/>
      <c r="N142" s="241"/>
      <c r="O142" s="237"/>
      <c r="P142" s="148"/>
      <c r="Q142" s="237"/>
    </row>
    <row r="143" spans="2:17" x14ac:dyDescent="0.25">
      <c r="B143" s="148"/>
      <c r="C143" s="242"/>
      <c r="D143" s="242"/>
      <c r="E143" s="242"/>
      <c r="F143" s="242"/>
      <c r="J143" s="104"/>
      <c r="K143" s="199"/>
      <c r="L143" s="236"/>
      <c r="M143" s="237"/>
      <c r="N143" s="241"/>
      <c r="O143" s="237"/>
      <c r="P143" s="148"/>
      <c r="Q143" s="237"/>
    </row>
    <row r="144" spans="2:17" x14ac:dyDescent="0.25">
      <c r="B144" s="148"/>
      <c r="C144" s="242"/>
      <c r="D144" s="242"/>
      <c r="E144" s="242"/>
      <c r="F144" s="242"/>
      <c r="J144" s="104"/>
      <c r="K144" s="199"/>
      <c r="L144" s="236"/>
      <c r="M144" s="237"/>
      <c r="N144" s="148"/>
      <c r="O144" s="239"/>
      <c r="P144" s="148"/>
      <c r="Q144" s="237"/>
    </row>
    <row r="145" spans="2:17" x14ac:dyDescent="0.25">
      <c r="B145" s="148"/>
      <c r="C145" s="242"/>
      <c r="D145" s="242"/>
      <c r="E145" s="242"/>
      <c r="F145" s="242"/>
      <c r="J145" s="104"/>
      <c r="K145" s="199"/>
      <c r="L145" s="236"/>
      <c r="M145" s="237"/>
      <c r="N145" s="148"/>
      <c r="O145" s="239"/>
      <c r="P145" s="148"/>
      <c r="Q145" s="237"/>
    </row>
    <row r="146" spans="2:17" x14ac:dyDescent="0.25">
      <c r="B146" s="148"/>
      <c r="C146" s="242"/>
      <c r="D146" s="242"/>
      <c r="E146" s="242"/>
      <c r="F146" s="242"/>
      <c r="K146" s="199"/>
      <c r="L146" s="236"/>
      <c r="M146" s="237"/>
      <c r="O146" s="138"/>
      <c r="P146" s="148"/>
      <c r="Q146" s="237"/>
    </row>
    <row r="147" spans="2:17" x14ac:dyDescent="0.25">
      <c r="B147" s="148"/>
      <c r="C147" s="242"/>
      <c r="D147" s="242"/>
      <c r="E147" s="242"/>
      <c r="F147" s="242"/>
      <c r="K147" s="199"/>
      <c r="L147" s="236"/>
      <c r="M147" s="237"/>
      <c r="P147" s="148"/>
      <c r="Q147" s="237"/>
    </row>
    <row r="148" spans="2:17" x14ac:dyDescent="0.25">
      <c r="B148" s="148"/>
      <c r="C148" s="242"/>
      <c r="D148" s="242"/>
      <c r="E148" s="242"/>
      <c r="F148" s="242"/>
      <c r="K148" s="199"/>
      <c r="L148" s="236"/>
      <c r="M148" s="237"/>
      <c r="P148" s="148"/>
      <c r="Q148" s="237"/>
    </row>
    <row r="149" spans="2:17" x14ac:dyDescent="0.25">
      <c r="B149" s="148"/>
      <c r="C149" s="242"/>
      <c r="D149" s="242"/>
      <c r="E149" s="242"/>
      <c r="F149" s="242"/>
      <c r="J149" s="104"/>
      <c r="K149" s="199"/>
      <c r="L149" s="236"/>
      <c r="M149" s="237"/>
      <c r="P149" s="148"/>
      <c r="Q149" s="237"/>
    </row>
    <row r="150" spans="2:17" x14ac:dyDescent="0.25">
      <c r="B150" s="148"/>
      <c r="C150" s="242"/>
      <c r="D150" s="242"/>
      <c r="E150" s="242"/>
      <c r="F150" s="242"/>
      <c r="K150" s="199"/>
      <c r="L150" s="236"/>
      <c r="M150" s="237"/>
      <c r="P150" s="148"/>
      <c r="Q150" s="237"/>
    </row>
    <row r="151" spans="2:17" x14ac:dyDescent="0.25">
      <c r="B151" s="148"/>
      <c r="C151" s="242"/>
      <c r="D151" s="242"/>
      <c r="E151" s="242"/>
      <c r="F151" s="242"/>
      <c r="J151" s="104"/>
      <c r="K151" s="199"/>
      <c r="L151" s="236"/>
      <c r="M151" s="237"/>
      <c r="P151" s="148"/>
      <c r="Q151" s="237"/>
    </row>
    <row r="152" spans="2:17" x14ac:dyDescent="0.25">
      <c r="B152" s="148"/>
      <c r="C152" s="242"/>
      <c r="D152" s="242"/>
      <c r="E152" s="242"/>
      <c r="F152" s="242"/>
      <c r="K152" s="199"/>
      <c r="L152" s="236"/>
      <c r="M152" s="237"/>
      <c r="P152" s="148"/>
      <c r="Q152" s="237"/>
    </row>
    <row r="153" spans="2:17" x14ac:dyDescent="0.25">
      <c r="B153" s="148"/>
      <c r="C153" s="242"/>
      <c r="D153" s="242"/>
      <c r="E153" s="242"/>
      <c r="F153" s="242"/>
      <c r="L153" s="236"/>
      <c r="M153" s="237"/>
      <c r="P153" s="148"/>
      <c r="Q153" s="237"/>
    </row>
    <row r="154" spans="2:17" x14ac:dyDescent="0.25">
      <c r="B154" s="148"/>
      <c r="C154" s="242"/>
      <c r="D154" s="242"/>
      <c r="E154" s="242"/>
      <c r="F154" s="242"/>
      <c r="L154" s="236"/>
      <c r="M154" s="237"/>
      <c r="P154" s="148"/>
      <c r="Q154" s="237"/>
    </row>
    <row r="155" spans="2:17" x14ac:dyDescent="0.25">
      <c r="B155" s="148"/>
      <c r="C155" s="242"/>
      <c r="D155" s="242"/>
      <c r="E155" s="242"/>
      <c r="F155" s="242"/>
      <c r="L155" s="236"/>
      <c r="M155" s="237"/>
      <c r="P155" s="148"/>
      <c r="Q155" s="237"/>
    </row>
    <row r="156" spans="2:17" x14ac:dyDescent="0.25">
      <c r="B156" s="148"/>
      <c r="C156" s="242"/>
      <c r="D156" s="242"/>
      <c r="E156" s="242"/>
      <c r="F156" s="242"/>
      <c r="L156" s="236"/>
      <c r="M156" s="237"/>
    </row>
    <row r="157" spans="2:17" x14ac:dyDescent="0.25">
      <c r="B157" s="148"/>
      <c r="C157" s="242"/>
      <c r="D157" s="242"/>
      <c r="E157" s="242"/>
      <c r="F157" s="242"/>
      <c r="L157" s="236"/>
      <c r="M157" s="237"/>
    </row>
    <row r="158" spans="2:17" x14ac:dyDescent="0.25">
      <c r="B158" s="148"/>
      <c r="C158" s="242"/>
      <c r="D158" s="242"/>
      <c r="E158" s="242"/>
      <c r="F158" s="242"/>
      <c r="L158" s="236"/>
      <c r="M158" s="237"/>
    </row>
    <row r="159" spans="2:17" x14ac:dyDescent="0.25">
      <c r="B159" s="148"/>
      <c r="C159" s="242"/>
      <c r="D159" s="242"/>
      <c r="E159" s="242"/>
      <c r="F159" s="242"/>
      <c r="L159" s="236"/>
      <c r="M159" s="237"/>
    </row>
    <row r="160" spans="2:17" x14ac:dyDescent="0.25">
      <c r="B160" s="148"/>
      <c r="C160" s="242"/>
      <c r="D160" s="242"/>
      <c r="E160" s="242"/>
      <c r="F160" s="242"/>
      <c r="L160" s="236"/>
      <c r="M160" s="237"/>
    </row>
    <row r="161" spans="2:13" x14ac:dyDescent="0.25">
      <c r="B161" s="148"/>
      <c r="C161" s="242"/>
      <c r="D161" s="242"/>
      <c r="E161" s="242"/>
      <c r="F161" s="242"/>
      <c r="L161" s="236"/>
      <c r="M161" s="237"/>
    </row>
    <row r="162" spans="2:13" x14ac:dyDescent="0.25">
      <c r="B162" s="148"/>
      <c r="C162" s="242"/>
      <c r="D162" s="242"/>
      <c r="E162" s="242"/>
      <c r="F162" s="242"/>
      <c r="L162" s="236"/>
      <c r="M162" s="237"/>
    </row>
    <row r="163" spans="2:13" x14ac:dyDescent="0.25">
      <c r="B163" s="148"/>
      <c r="C163" s="242"/>
      <c r="D163" s="242"/>
      <c r="E163" s="242"/>
      <c r="F163" s="242"/>
      <c r="L163" s="236"/>
      <c r="M163" s="237"/>
    </row>
    <row r="164" spans="2:13" x14ac:dyDescent="0.25">
      <c r="L164" s="236"/>
      <c r="M164" s="237"/>
    </row>
    <row r="165" spans="2:13" x14ac:dyDescent="0.25">
      <c r="L165" s="236"/>
      <c r="M165" s="237"/>
    </row>
    <row r="166" spans="2:13" x14ac:dyDescent="0.25">
      <c r="L166" s="236"/>
      <c r="M166" s="237"/>
    </row>
    <row r="167" spans="2:13" x14ac:dyDescent="0.25">
      <c r="L167" s="236"/>
      <c r="M167" s="237"/>
    </row>
    <row r="168" spans="2:13" x14ac:dyDescent="0.25">
      <c r="K168" s="199"/>
      <c r="L168" s="236"/>
      <c r="M168" s="237"/>
    </row>
    <row r="169" spans="2:13" x14ac:dyDescent="0.25">
      <c r="M169" s="105"/>
    </row>
  </sheetData>
  <autoFilter ref="A17:X103"/>
  <mergeCells count="9">
    <mergeCell ref="N118:P118"/>
    <mergeCell ref="A6:C8"/>
    <mergeCell ref="G6:G8"/>
    <mergeCell ref="H6:Q6"/>
    <mergeCell ref="R6:S8"/>
    <mergeCell ref="H7:K7"/>
    <mergeCell ref="M7:Q7"/>
    <mergeCell ref="A9:C9"/>
    <mergeCell ref="N117:P117"/>
  </mergeCells>
  <conditionalFormatting sqref="L138:L168">
    <cfRule type="containsText" dxfId="3" priority="1" operator="containsText" text="5020201002">
      <formula>NOT(ISERROR(SEARCH("5020201002",L138)))</formula>
    </cfRule>
    <cfRule type="containsText" dxfId="2" priority="2" operator="containsText" text="5020201010">
      <formula>NOT(ISERROR(SEARCH("5020201010",L138)))</formula>
    </cfRule>
    <cfRule type="containsText" dxfId="1" priority="3" operator="containsText" text="5020201000">
      <formula>NOT(ISERROR(SEARCH("5020201000",L138)))</formula>
    </cfRule>
    <cfRule type="containsText" dxfId="0" priority="4" operator="containsText" text="502020101000">
      <formula>NOT(ISERROR(SEARCH("502020101000",L138)))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34"/>
  <sheetViews>
    <sheetView topLeftCell="J13" workbookViewId="0">
      <selection activeCell="V31" sqref="V31"/>
    </sheetView>
  </sheetViews>
  <sheetFormatPr defaultRowHeight="15" x14ac:dyDescent="0.25"/>
  <cols>
    <col min="1" max="1" width="27" style="263" customWidth="1"/>
    <col min="2" max="2" width="24.140625" style="4" customWidth="1"/>
    <col min="3" max="3" width="34.5703125" customWidth="1"/>
    <col min="4" max="4" width="23.5703125" customWidth="1"/>
    <col min="5" max="5" width="18.5703125" customWidth="1"/>
    <col min="6" max="10" width="9.140625" customWidth="1"/>
    <col min="11" max="11" width="32.7109375" style="259" customWidth="1"/>
    <col min="12" max="12" width="24.28515625" style="4" customWidth="1"/>
    <col min="13" max="13" width="23.28515625" customWidth="1"/>
    <col min="14" max="14" width="15.42578125" customWidth="1"/>
    <col min="15" max="19" width="9.140625" customWidth="1"/>
    <col min="20" max="20" width="29.5703125" customWidth="1"/>
    <col min="21" max="21" width="15.28515625" style="4" bestFit="1" customWidth="1"/>
    <col min="22" max="22" width="15.5703125" customWidth="1"/>
  </cols>
  <sheetData>
    <row r="1" spans="1:22" s="262" customFormat="1" x14ac:dyDescent="0.25">
      <c r="A1" s="295" t="s">
        <v>303</v>
      </c>
      <c r="B1" s="284">
        <v>-126876196.63000001</v>
      </c>
      <c r="K1" s="296" t="s">
        <v>316</v>
      </c>
      <c r="L1" s="261">
        <v>-119119962.27999999</v>
      </c>
      <c r="T1" s="296" t="s">
        <v>334</v>
      </c>
      <c r="U1" s="261">
        <v>-172591995.05999994</v>
      </c>
    </row>
    <row r="2" spans="1:22" x14ac:dyDescent="0.25">
      <c r="A2" s="283" t="s">
        <v>304</v>
      </c>
      <c r="B2" s="284">
        <v>-971748</v>
      </c>
      <c r="K2" s="297" t="s">
        <v>317</v>
      </c>
      <c r="L2" s="284">
        <f>-[21]TB!$F$122+[21]TB!$G$122</f>
        <v>-75118</v>
      </c>
      <c r="T2" t="s">
        <v>329</v>
      </c>
      <c r="U2" s="4">
        <f>-[22]TB!$F$122</f>
        <v>-269600</v>
      </c>
    </row>
    <row r="3" spans="1:22" x14ac:dyDescent="0.25">
      <c r="A3" s="283" t="s">
        <v>305</v>
      </c>
      <c r="B3" s="284">
        <f>-[23]TB!$H$122</f>
        <v>-26000</v>
      </c>
      <c r="K3" s="259" t="s">
        <v>318</v>
      </c>
      <c r="L3" s="4">
        <f>-[21]TB!$H$122+[21]TB!$I$122</f>
        <v>-372000</v>
      </c>
      <c r="T3" t="s">
        <v>321</v>
      </c>
      <c r="U3" s="4">
        <f>-[22]TB!$T$122</f>
        <v>-172322395.05999994</v>
      </c>
    </row>
    <row r="4" spans="1:22" x14ac:dyDescent="0.25">
      <c r="A4" s="301" t="s">
        <v>306</v>
      </c>
      <c r="B4" s="301">
        <f>-[23]TB!$P$122+[23]TB!$Q$122</f>
        <v>-43982883.280000009</v>
      </c>
      <c r="C4" s="310">
        <f>B4*-1</f>
        <v>43982883.280000009</v>
      </c>
      <c r="D4" s="305"/>
      <c r="E4" s="305"/>
      <c r="F4" s="305"/>
      <c r="G4" s="305"/>
      <c r="H4" s="305"/>
      <c r="I4" s="305"/>
      <c r="J4" s="305"/>
      <c r="K4" s="300" t="s">
        <v>319</v>
      </c>
      <c r="L4" s="302">
        <f>-[21]TB!$N$122</f>
        <v>-1769613.1</v>
      </c>
      <c r="M4" s="310">
        <f>L4*-1</f>
        <v>1769613.1</v>
      </c>
      <c r="T4" s="300" t="s">
        <v>319</v>
      </c>
      <c r="U4" s="301">
        <f>-6366002.03-U17</f>
        <v>-3329500.0300000003</v>
      </c>
      <c r="V4" s="319">
        <f>U4*-1</f>
        <v>3329500.0300000003</v>
      </c>
    </row>
    <row r="5" spans="1:22" x14ac:dyDescent="0.25">
      <c r="A5" s="301" t="s">
        <v>307</v>
      </c>
      <c r="B5" s="301">
        <f>-[23]TB!$N$122</f>
        <v>-50000</v>
      </c>
      <c r="C5" s="310">
        <f>B5*-1</f>
        <v>50000</v>
      </c>
      <c r="K5" s="300" t="s">
        <v>320</v>
      </c>
      <c r="L5" s="302">
        <f>-[21]TB!$P$122</f>
        <v>-2197356.5299999998</v>
      </c>
      <c r="M5" s="310">
        <f>L5*-1</f>
        <v>2197356.5299999998</v>
      </c>
      <c r="T5" s="300" t="s">
        <v>320</v>
      </c>
      <c r="U5" s="302">
        <f>-[22]Control!$N$118</f>
        <v>-9313019.4500000048</v>
      </c>
      <c r="V5" s="311">
        <f>U5*-1</f>
        <v>9313019.4500000048</v>
      </c>
    </row>
    <row r="6" spans="1:22" x14ac:dyDescent="0.25">
      <c r="A6" s="283" t="s">
        <v>308</v>
      </c>
      <c r="B6" s="284">
        <f>-[23]TB!$T$122</f>
        <v>-81845565.350000009</v>
      </c>
      <c r="K6" s="259" t="s">
        <v>321</v>
      </c>
      <c r="L6" s="4">
        <f>-[21]TB!$T$122+[21]TB!$U$122</f>
        <v>-114705874.64999999</v>
      </c>
      <c r="T6" t="s">
        <v>322</v>
      </c>
    </row>
    <row r="7" spans="1:22" x14ac:dyDescent="0.25">
      <c r="A7" s="283" t="s">
        <v>309</v>
      </c>
      <c r="B7" s="283">
        <f>SUM(B2:B6)</f>
        <v>-126876196.63000003</v>
      </c>
      <c r="K7" s="259" t="s">
        <v>309</v>
      </c>
      <c r="L7" s="260">
        <f>SUM(L2:L6)</f>
        <v>-119119962.27999999</v>
      </c>
      <c r="T7" t="s">
        <v>329</v>
      </c>
      <c r="U7" s="4">
        <f>-[22]TB!$F$122</f>
        <v>-269600</v>
      </c>
    </row>
    <row r="8" spans="1:22" x14ac:dyDescent="0.25">
      <c r="A8" s="4"/>
      <c r="B8" s="4">
        <f>B7-B1</f>
        <v>0</v>
      </c>
      <c r="L8" s="4">
        <f>L7-L1</f>
        <v>0</v>
      </c>
      <c r="T8" s="305">
        <v>5029903000</v>
      </c>
      <c r="U8" s="302">
        <v>-257600</v>
      </c>
      <c r="V8" s="310">
        <f>U8*-1</f>
        <v>257600</v>
      </c>
    </row>
    <row r="9" spans="1:22" x14ac:dyDescent="0.25">
      <c r="A9" s="283" t="s">
        <v>310</v>
      </c>
      <c r="B9" s="284"/>
      <c r="C9" s="288"/>
      <c r="K9" s="259" t="s">
        <v>322</v>
      </c>
      <c r="T9" s="305">
        <v>5020201002</v>
      </c>
      <c r="U9" s="302">
        <v>-12000</v>
      </c>
      <c r="V9" s="310">
        <f>U9*-1</f>
        <v>12000</v>
      </c>
    </row>
    <row r="10" spans="1:22" x14ac:dyDescent="0.25">
      <c r="A10" s="283" t="s">
        <v>304</v>
      </c>
      <c r="B10" s="283">
        <v>-971748</v>
      </c>
      <c r="C10" s="288"/>
      <c r="K10" s="297" t="s">
        <v>317</v>
      </c>
      <c r="L10" s="283">
        <f>-[21]TB!$F$122+[21]TB!$G$122</f>
        <v>-75118</v>
      </c>
    </row>
    <row r="11" spans="1:22" x14ac:dyDescent="0.25">
      <c r="A11" s="289">
        <v>5021499000</v>
      </c>
      <c r="B11" s="284">
        <v>-35548</v>
      </c>
      <c r="C11" s="288" t="str">
        <f>VLOOKUP(A11,[24]Accounts!$B$4:$C$257,2,FALSE)</f>
        <v>Subsidies - Others</v>
      </c>
      <c r="D11" s="310">
        <f>B11*-1</f>
        <v>35548</v>
      </c>
      <c r="K11" s="297">
        <v>5021199000</v>
      </c>
      <c r="L11" s="284">
        <v>5782</v>
      </c>
      <c r="M11" s="310">
        <f>L11</f>
        <v>5782</v>
      </c>
      <c r="N11" t="s">
        <v>339</v>
      </c>
      <c r="T11" t="s">
        <v>321</v>
      </c>
      <c r="U11" s="4">
        <f>-[22]TB!$T$122</f>
        <v>-172322395.05999994</v>
      </c>
    </row>
    <row r="12" spans="1:22" x14ac:dyDescent="0.25">
      <c r="A12" s="289">
        <v>5020201002</v>
      </c>
      <c r="B12" s="284">
        <v>-936200</v>
      </c>
      <c r="C12" s="288" t="str">
        <f>VLOOKUP(A12,[24]Accounts!$B$4:$C$257,2,FALSE)</f>
        <v>Training Expenses</v>
      </c>
      <c r="D12" s="310">
        <f>B12*-1</f>
        <v>936200</v>
      </c>
      <c r="K12" s="297">
        <v>5029903000</v>
      </c>
      <c r="L12" s="284">
        <v>-75900</v>
      </c>
      <c r="M12" s="310">
        <f>L12*-1</f>
        <v>75900</v>
      </c>
      <c r="T12" s="305">
        <v>1040299000</v>
      </c>
      <c r="U12" s="302">
        <v>-68790759.359999999</v>
      </c>
      <c r="V12" s="310">
        <f>U12*-1</f>
        <v>68790759.359999999</v>
      </c>
    </row>
    <row r="13" spans="1:22" x14ac:dyDescent="0.25">
      <c r="A13" s="283" t="s">
        <v>305</v>
      </c>
      <c r="B13" s="283">
        <f>-[23]TB!$H$122</f>
        <v>-26000</v>
      </c>
      <c r="C13" s="288"/>
      <c r="D13" s="311"/>
      <c r="K13" s="297">
        <v>5021499000</v>
      </c>
      <c r="L13" s="284">
        <v>-5000</v>
      </c>
      <c r="M13" s="310">
        <f>L13*-1</f>
        <v>5000</v>
      </c>
      <c r="T13" s="305">
        <v>1040503000</v>
      </c>
      <c r="U13" s="302">
        <v>-678570</v>
      </c>
      <c r="V13" s="310">
        <f>U13*-1</f>
        <v>678570</v>
      </c>
    </row>
    <row r="14" spans="1:22" x14ac:dyDescent="0.25">
      <c r="A14" s="289">
        <v>5029903000</v>
      </c>
      <c r="B14" s="284">
        <v>-26000</v>
      </c>
      <c r="C14" s="288" t="str">
        <f>VLOOKUP(A14,[24]Accounts!$B$4:$C$257,2,FALSE)</f>
        <v>Representation Expenses</v>
      </c>
      <c r="D14" s="310">
        <f>B14*-1</f>
        <v>26000</v>
      </c>
      <c r="T14" s="305">
        <v>1040202000</v>
      </c>
      <c r="U14" s="302">
        <v>-102853035.7</v>
      </c>
      <c r="V14" s="310">
        <f>U14*-1</f>
        <v>102853035.7</v>
      </c>
    </row>
    <row r="15" spans="1:22" x14ac:dyDescent="0.25">
      <c r="A15" s="290" t="s">
        <v>309</v>
      </c>
      <c r="B15" s="283">
        <f>B14</f>
        <v>-26000</v>
      </c>
      <c r="C15" s="288"/>
      <c r="D15" s="311"/>
      <c r="K15" s="259" t="s">
        <v>318</v>
      </c>
      <c r="L15" s="260">
        <f>-[21]TB!$H$122+[21]TB!$I$122</f>
        <v>-372000</v>
      </c>
    </row>
    <row r="16" spans="1:22" x14ac:dyDescent="0.25">
      <c r="A16" s="289"/>
      <c r="B16" s="284"/>
      <c r="C16" s="288"/>
      <c r="K16" s="259">
        <v>5020201002</v>
      </c>
      <c r="L16" s="4">
        <v>-372000</v>
      </c>
      <c r="M16" s="310">
        <f>L16*-1</f>
        <v>372000</v>
      </c>
      <c r="T16" s="305" t="s">
        <v>342</v>
      </c>
      <c r="U16" s="302">
        <v>9488.57</v>
      </c>
      <c r="V16" t="s">
        <v>343</v>
      </c>
    </row>
    <row r="17" spans="1:22" x14ac:dyDescent="0.25">
      <c r="A17" s="264"/>
      <c r="T17" s="300" t="s">
        <v>345</v>
      </c>
      <c r="U17" s="260">
        <f>-3036502</f>
        <v>-3036502</v>
      </c>
      <c r="V17" s="319">
        <f>U17*-1</f>
        <v>3036502</v>
      </c>
    </row>
    <row r="18" spans="1:22" x14ac:dyDescent="0.25">
      <c r="A18" s="283" t="s">
        <v>308</v>
      </c>
      <c r="B18" s="283">
        <f>-[23]TB!$T$122</f>
        <v>-81845565.350000009</v>
      </c>
      <c r="C18" s="294">
        <f>B18+105410415.93+B28</f>
        <v>449353.54999999702</v>
      </c>
      <c r="K18" s="259" t="s">
        <v>321</v>
      </c>
      <c r="L18" s="4">
        <f>-[21]TB!$T$122+[21]TB!$U$122</f>
        <v>-114705874.64999999</v>
      </c>
    </row>
    <row r="19" spans="1:22" ht="30" x14ac:dyDescent="0.25">
      <c r="A19" s="312">
        <v>5020399000</v>
      </c>
      <c r="B19" s="313">
        <v>-38976490.210000001</v>
      </c>
      <c r="C19" s="314" t="str">
        <f>VLOOKUP(A19,[24]Accounts!$B$4:$C$257,2,FALSE)</f>
        <v>Other Supplies and Materials Expenses</v>
      </c>
      <c r="D19" s="318">
        <f>B19*-1</f>
        <v>38976490.210000001</v>
      </c>
      <c r="K19" s="300">
        <v>5020399000</v>
      </c>
      <c r="L19" s="301">
        <v>-61592933</v>
      </c>
      <c r="N19" s="302">
        <f>L19*-1</f>
        <v>61592933</v>
      </c>
    </row>
    <row r="20" spans="1:22" ht="45" x14ac:dyDescent="0.25">
      <c r="A20" s="312">
        <v>5020321002</v>
      </c>
      <c r="B20" s="313">
        <v>-801200</v>
      </c>
      <c r="C20" s="314" t="str">
        <f>VLOOKUP(A20,[24]Accounts!$B$4:$C$257,2,FALSE)</f>
        <v>Semi-expendable Machinery and Equipment Expenses - Office Equipment</v>
      </c>
      <c r="D20" s="318">
        <f t="shared" ref="D20:D31" si="0">B20*-1</f>
        <v>801200</v>
      </c>
      <c r="K20" s="300">
        <v>5020321003</v>
      </c>
      <c r="L20" s="301">
        <v>678570</v>
      </c>
      <c r="N20" s="302">
        <f>L20</f>
        <v>678570</v>
      </c>
      <c r="O20" t="s">
        <v>339</v>
      </c>
    </row>
    <row r="21" spans="1:22" ht="30" x14ac:dyDescent="0.25">
      <c r="A21" s="312">
        <v>5020321003</v>
      </c>
      <c r="B21" s="313">
        <v>-3481725.35</v>
      </c>
      <c r="C21" s="314" t="str">
        <f>VLOOKUP(A21,[24]Accounts!$B$4:$C$257,2,FALSE)</f>
        <v>Semi-Expendable - M &amp; E Expenses-ICT Equipment</v>
      </c>
      <c r="D21" s="318">
        <f t="shared" si="0"/>
        <v>3481725.35</v>
      </c>
      <c r="K21" s="300">
        <v>5020305000</v>
      </c>
      <c r="L21" s="301">
        <v>345782.55</v>
      </c>
      <c r="M21" s="259" t="s">
        <v>335</v>
      </c>
      <c r="N21" s="302">
        <f>L21</f>
        <v>345782.55</v>
      </c>
      <c r="O21" t="s">
        <v>339</v>
      </c>
    </row>
    <row r="22" spans="1:22" ht="30" x14ac:dyDescent="0.25">
      <c r="A22" s="312">
        <v>5020322001</v>
      </c>
      <c r="B22" s="313">
        <v>-7544285.4500000002</v>
      </c>
      <c r="C22" s="314" t="str">
        <f>VLOOKUP(A22,[24]Accounts!$B$4:$C$257,2,FALSE)</f>
        <v>Semi-expendable Furniture and Fixtures Expenses</v>
      </c>
      <c r="D22" s="318">
        <f t="shared" si="0"/>
        <v>7544285.4500000002</v>
      </c>
      <c r="K22" s="300">
        <v>5020301002</v>
      </c>
      <c r="L22" s="302">
        <v>7779.81</v>
      </c>
      <c r="N22" s="302">
        <f>L22</f>
        <v>7779.81</v>
      </c>
      <c r="O22" t="s">
        <v>339</v>
      </c>
    </row>
    <row r="23" spans="1:22" ht="30" x14ac:dyDescent="0.25">
      <c r="A23" s="312">
        <v>5020321001</v>
      </c>
      <c r="B23" s="313">
        <v>-231758.5</v>
      </c>
      <c r="C23" s="314" t="str">
        <f>VLOOKUP(A23,[24]Accounts!$B$4:$C$257,2,FALSE)</f>
        <v>Semi-expendable Machinery and Equipment Expenses - Machinery</v>
      </c>
      <c r="D23" s="318">
        <f t="shared" si="0"/>
        <v>231758.5</v>
      </c>
      <c r="K23" s="300">
        <v>5020399000</v>
      </c>
      <c r="L23" s="302">
        <v>49466.95</v>
      </c>
      <c r="N23" s="302">
        <f>L23</f>
        <v>49466.95</v>
      </c>
      <c r="O23" t="s">
        <v>339</v>
      </c>
      <c r="P23" t="s">
        <v>324</v>
      </c>
      <c r="Q23" t="s">
        <v>340</v>
      </c>
    </row>
    <row r="24" spans="1:22" s="293" customFormat="1" ht="30" x14ac:dyDescent="0.25">
      <c r="A24" s="315">
        <v>5020321013</v>
      </c>
      <c r="B24" s="316">
        <v>-199740</v>
      </c>
      <c r="C24" s="317" t="str">
        <f>VLOOKUP(A24,[24]Accounts!$B$4:$C$257,2,FALSE)</f>
        <v>Semi-expendable Technical and Scientific Expenses</v>
      </c>
      <c r="D24" s="318">
        <f t="shared" si="0"/>
        <v>199740</v>
      </c>
      <c r="K24" s="303">
        <v>5020308000</v>
      </c>
      <c r="L24" s="304">
        <v>-449800</v>
      </c>
      <c r="M24" s="293" t="s">
        <v>323</v>
      </c>
      <c r="N24" s="302">
        <f>L24*-1</f>
        <v>449800</v>
      </c>
      <c r="P24" s="293" t="s">
        <v>341</v>
      </c>
      <c r="U24" s="292"/>
    </row>
    <row r="25" spans="1:22" ht="45" x14ac:dyDescent="0.25">
      <c r="A25" s="312">
        <v>5020321007</v>
      </c>
      <c r="B25" s="313">
        <v>-739355.2</v>
      </c>
      <c r="C25" s="314" t="str">
        <f>VLOOKUP(A25,[24]Accounts!$B$4:$C$257,2,FALSE)</f>
        <v>Semi-expendable Machinery and Equipment Expenses - Communications Equipment</v>
      </c>
      <c r="D25" s="318">
        <f t="shared" si="0"/>
        <v>739355.2</v>
      </c>
      <c r="K25" s="300">
        <v>5050108002</v>
      </c>
      <c r="L25" s="302">
        <v>49685.19</v>
      </c>
      <c r="N25" s="302">
        <f>L25</f>
        <v>49685.19</v>
      </c>
      <c r="O25" t="s">
        <v>339</v>
      </c>
    </row>
    <row r="26" spans="1:22" ht="45" x14ac:dyDescent="0.25">
      <c r="A26" s="312">
        <v>5020321010</v>
      </c>
      <c r="B26" s="313">
        <v>-157706</v>
      </c>
      <c r="C26" s="314" t="str">
        <f>VLOOKUP(A26,[24]Accounts!$B$4:$C$257,2,FALSE)</f>
        <v>Semi-expendable Machinery and Equipment Expenses - Medical Equipment</v>
      </c>
      <c r="D26" s="318">
        <f t="shared" si="0"/>
        <v>157706</v>
      </c>
      <c r="K26" s="300">
        <v>5020306000</v>
      </c>
      <c r="L26" s="302">
        <v>-12917658.15</v>
      </c>
      <c r="N26" s="302">
        <f>L26*-1</f>
        <v>12917658.15</v>
      </c>
    </row>
    <row r="27" spans="1:22" ht="30" x14ac:dyDescent="0.25">
      <c r="A27" s="312">
        <v>5020321099</v>
      </c>
      <c r="B27" s="313">
        <v>-1430674.25</v>
      </c>
      <c r="C27" s="314" t="str">
        <f>VLOOKUP(A27,[24]Accounts!$B$4:$C$257,2,FALSE)</f>
        <v>Semi-Expendable - Other Machinery and Equipment Expenses</v>
      </c>
      <c r="D27" s="318">
        <f t="shared" si="0"/>
        <v>1430674.25</v>
      </c>
      <c r="K27" s="259">
        <v>5021499000</v>
      </c>
      <c r="L27" s="302">
        <v>-21250000</v>
      </c>
      <c r="M27" t="s">
        <v>326</v>
      </c>
      <c r="N27" s="302">
        <f>L27*-1</f>
        <v>21250000</v>
      </c>
      <c r="P27" t="s">
        <v>215</v>
      </c>
    </row>
    <row r="28" spans="1:22" x14ac:dyDescent="0.25">
      <c r="A28" s="312">
        <v>5020306000</v>
      </c>
      <c r="B28" s="313">
        <v>-23115497.030000001</v>
      </c>
      <c r="C28" s="314" t="str">
        <f>VLOOKUP(A28,[24]Accounts!$B$4:$C$257,2,FALSE)</f>
        <v>Welfare Goods Expenses</v>
      </c>
      <c r="D28" s="318">
        <f t="shared" si="0"/>
        <v>23115497.030000001</v>
      </c>
      <c r="K28" s="259">
        <v>5021499000</v>
      </c>
      <c r="L28" s="302">
        <v>-19626768</v>
      </c>
      <c r="M28" t="s">
        <v>327</v>
      </c>
      <c r="N28" s="302">
        <f>L28*-1</f>
        <v>19626768</v>
      </c>
      <c r="P28" t="s">
        <v>100</v>
      </c>
    </row>
    <row r="29" spans="1:22" x14ac:dyDescent="0.25">
      <c r="A29" s="312">
        <v>5020305000</v>
      </c>
      <c r="B29" s="313">
        <v>-449353.55</v>
      </c>
      <c r="C29" s="314" t="str">
        <f>VLOOKUP(A29,[24]Accounts!$B$4:$C$257,2,FALSE)</f>
        <v>Food Supplies Expenses</v>
      </c>
      <c r="D29" s="318">
        <f t="shared" si="0"/>
        <v>449353.55</v>
      </c>
    </row>
    <row r="30" spans="1:22" x14ac:dyDescent="0.25">
      <c r="A30" s="312">
        <v>5020307000</v>
      </c>
      <c r="B30" s="313">
        <v>-4710000</v>
      </c>
      <c r="C30" s="314" t="str">
        <f>VLOOKUP(A30,[24]Accounts!$B$4:$C$257,2,FALSE)</f>
        <v>Drugs and Medicines Expenses</v>
      </c>
      <c r="D30" s="318">
        <f t="shared" si="0"/>
        <v>4710000</v>
      </c>
      <c r="E30" s="4">
        <f>D30*2</f>
        <v>9420000</v>
      </c>
    </row>
    <row r="31" spans="1:22" x14ac:dyDescent="0.25">
      <c r="A31" s="312">
        <v>5020301002</v>
      </c>
      <c r="B31" s="313">
        <v>-7779.81</v>
      </c>
      <c r="C31" s="314" t="str">
        <f>VLOOKUP(A31,[24]Accounts!$B$4:$C$257,2,FALSE)</f>
        <v>Office Supplies Expenses</v>
      </c>
      <c r="D31" s="318">
        <f t="shared" si="0"/>
        <v>7779.81</v>
      </c>
    </row>
    <row r="34" spans="2:2" x14ac:dyDescent="0.25">
      <c r="B34" s="4" t="s">
        <v>338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4"/>
  <sheetViews>
    <sheetView view="pageBreakPreview" zoomScale="85" zoomScaleNormal="60" zoomScaleSheetLayoutView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C43" sqref="C43"/>
    </sheetView>
  </sheetViews>
  <sheetFormatPr defaultColWidth="9.140625" defaultRowHeight="15" x14ac:dyDescent="0.2"/>
  <cols>
    <col min="1" max="1" width="2.28515625" style="8" customWidth="1"/>
    <col min="2" max="2" width="4.5703125" style="8" customWidth="1"/>
    <col min="3" max="3" width="75" style="8" customWidth="1"/>
    <col min="4" max="4" width="32.140625" style="24" customWidth="1"/>
    <col min="5" max="5" width="33" style="8" customWidth="1"/>
    <col min="6" max="7" width="21.5703125" style="8" customWidth="1"/>
    <col min="8" max="8" width="28.5703125" style="8" customWidth="1"/>
    <col min="9" max="9" width="31" style="8" customWidth="1"/>
    <col min="10" max="10" width="20" style="8" customWidth="1"/>
    <col min="11" max="11" width="20.5703125" style="8" customWidth="1"/>
    <col min="12" max="12" width="28.5703125" style="8" customWidth="1"/>
    <col min="13" max="13" width="21.140625" style="8" customWidth="1"/>
    <col min="14" max="14" width="15.5703125" style="8" customWidth="1"/>
    <col min="15" max="15" width="26.7109375" style="8" customWidth="1"/>
    <col min="16" max="16" width="12.5703125" style="8" customWidth="1"/>
    <col min="17" max="17" width="18.140625" style="8" customWidth="1"/>
    <col min="18" max="16384" width="9.140625" style="8"/>
  </cols>
  <sheetData>
    <row r="1" spans="1:20" ht="15.75" x14ac:dyDescent="0.25">
      <c r="A1" s="20" t="s">
        <v>187</v>
      </c>
    </row>
    <row r="2" spans="1:20" ht="15.75" x14ac:dyDescent="0.25">
      <c r="A2" s="20" t="s">
        <v>1</v>
      </c>
      <c r="B2" s="20"/>
    </row>
    <row r="3" spans="1:20" ht="15.75" x14ac:dyDescent="0.25">
      <c r="A3" s="20" t="s">
        <v>186</v>
      </c>
      <c r="B3" s="20"/>
    </row>
    <row r="4" spans="1:20" ht="15.75" x14ac:dyDescent="0.25">
      <c r="A4" s="36" t="s">
        <v>185</v>
      </c>
      <c r="B4" s="20"/>
    </row>
    <row r="5" spans="1:20" ht="15.75" x14ac:dyDescent="0.25">
      <c r="A5" s="20"/>
      <c r="B5" s="20"/>
    </row>
    <row r="6" spans="1:20" ht="15.75" customHeight="1" x14ac:dyDescent="0.25">
      <c r="A6" s="337" t="s">
        <v>3</v>
      </c>
      <c r="B6" s="337"/>
      <c r="C6" s="337"/>
      <c r="D6" s="338" t="s">
        <v>4</v>
      </c>
      <c r="E6" s="339" t="s">
        <v>5</v>
      </c>
      <c r="F6" s="339"/>
      <c r="G6" s="339"/>
      <c r="H6" s="339"/>
      <c r="I6" s="339"/>
      <c r="J6" s="339"/>
      <c r="K6" s="339"/>
      <c r="L6" s="339"/>
      <c r="M6" s="339"/>
      <c r="N6" s="340" t="s">
        <v>184</v>
      </c>
      <c r="O6" s="341"/>
      <c r="P6" s="340" t="s">
        <v>6</v>
      </c>
      <c r="Q6" s="341"/>
    </row>
    <row r="7" spans="1:20" ht="15.75" x14ac:dyDescent="0.25">
      <c r="A7" s="337"/>
      <c r="B7" s="337"/>
      <c r="C7" s="337"/>
      <c r="D7" s="338"/>
      <c r="E7" s="346" t="s">
        <v>7</v>
      </c>
      <c r="F7" s="347"/>
      <c r="G7" s="347"/>
      <c r="H7" s="348"/>
      <c r="I7" s="339" t="s">
        <v>8</v>
      </c>
      <c r="J7" s="339"/>
      <c r="K7" s="339"/>
      <c r="L7" s="339"/>
      <c r="M7" s="339"/>
      <c r="N7" s="342"/>
      <c r="O7" s="343"/>
      <c r="P7" s="342"/>
      <c r="Q7" s="343"/>
    </row>
    <row r="8" spans="1:20" s="35" customFormat="1" ht="30" x14ac:dyDescent="0.25">
      <c r="A8" s="337"/>
      <c r="B8" s="337"/>
      <c r="C8" s="337"/>
      <c r="D8" s="338"/>
      <c r="E8" s="88" t="s">
        <v>9</v>
      </c>
      <c r="F8" s="88" t="s">
        <v>10</v>
      </c>
      <c r="G8" s="88" t="s">
        <v>11</v>
      </c>
      <c r="H8" s="88" t="s">
        <v>12</v>
      </c>
      <c r="I8" s="88" t="s">
        <v>9</v>
      </c>
      <c r="J8" s="88" t="s">
        <v>10</v>
      </c>
      <c r="K8" s="88" t="s">
        <v>11</v>
      </c>
      <c r="L8" s="88" t="s">
        <v>13</v>
      </c>
      <c r="M8" s="88" t="s">
        <v>14</v>
      </c>
      <c r="N8" s="344"/>
      <c r="O8" s="345"/>
      <c r="P8" s="344"/>
      <c r="Q8" s="345"/>
    </row>
    <row r="9" spans="1:20" ht="15.75" x14ac:dyDescent="0.25">
      <c r="A9" s="30" t="s">
        <v>15</v>
      </c>
      <c r="B9" s="29"/>
      <c r="C9" s="31"/>
      <c r="D9" s="33">
        <f>'[25]Conso-SCNAE 2022'!H12</f>
        <v>197996036.94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20" x14ac:dyDescent="0.2">
      <c r="A10" s="27"/>
      <c r="B10" s="29"/>
      <c r="C10" s="31"/>
      <c r="D10" s="33"/>
      <c r="E10" s="34"/>
      <c r="F10" s="34"/>
      <c r="G10" s="34"/>
      <c r="H10" s="34"/>
      <c r="I10" s="33"/>
      <c r="J10" s="33"/>
      <c r="K10" s="33"/>
      <c r="L10" s="33"/>
      <c r="M10" s="33"/>
      <c r="N10" s="33"/>
      <c r="O10" s="33"/>
      <c r="P10" s="33"/>
      <c r="Q10" s="33"/>
      <c r="R10" s="24"/>
      <c r="S10" s="24"/>
      <c r="T10" s="24"/>
    </row>
    <row r="11" spans="1:20" s="20" customFormat="1" ht="15.75" x14ac:dyDescent="0.25">
      <c r="A11" s="30"/>
      <c r="B11" s="26" t="s">
        <v>16</v>
      </c>
      <c r="C11" s="89"/>
      <c r="D11" s="28"/>
      <c r="E11" s="28"/>
      <c r="F11" s="28"/>
      <c r="G11" s="28"/>
      <c r="H11" s="28">
        <f>SUM(H12:H21)</f>
        <v>0</v>
      </c>
      <c r="I11" s="28"/>
      <c r="J11" s="28"/>
      <c r="K11" s="28"/>
      <c r="L11" s="28"/>
      <c r="M11" s="28"/>
      <c r="N11" s="28"/>
      <c r="O11" s="28"/>
      <c r="P11" s="28"/>
      <c r="Q11" s="28"/>
      <c r="R11" s="23"/>
      <c r="S11" s="23"/>
      <c r="T11" s="23"/>
    </row>
    <row r="12" spans="1:20" x14ac:dyDescent="0.2">
      <c r="A12" s="27"/>
      <c r="B12" s="29"/>
      <c r="C12" s="31" t="s">
        <v>17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4"/>
      <c r="S12" s="24"/>
      <c r="T12" s="24"/>
    </row>
    <row r="13" spans="1:20" x14ac:dyDescent="0.2">
      <c r="A13" s="27"/>
      <c r="B13" s="29"/>
      <c r="C13" s="25" t="s">
        <v>152</v>
      </c>
      <c r="D13" s="33"/>
      <c r="E13" s="33"/>
      <c r="F13" s="33"/>
      <c r="G13" s="33"/>
      <c r="H13" s="33"/>
      <c r="I13" s="33"/>
      <c r="J13" s="33">
        <f>D13</f>
        <v>0</v>
      </c>
      <c r="K13" s="33"/>
      <c r="L13" s="33">
        <f>J13</f>
        <v>0</v>
      </c>
      <c r="M13" s="33"/>
      <c r="N13" s="90"/>
      <c r="P13" s="33"/>
      <c r="Q13" s="33"/>
      <c r="R13" s="24"/>
      <c r="S13" s="24"/>
      <c r="T13" s="24"/>
    </row>
    <row r="14" spans="1:20" x14ac:dyDescent="0.2">
      <c r="A14" s="27"/>
      <c r="B14" s="29"/>
      <c r="C14" s="25" t="s">
        <v>183</v>
      </c>
      <c r="D14" s="33"/>
      <c r="E14" s="33"/>
      <c r="F14" s="33"/>
      <c r="G14" s="33"/>
      <c r="H14" s="33">
        <f>+G14-F14</f>
        <v>0</v>
      </c>
      <c r="I14" s="33"/>
      <c r="J14" s="33"/>
      <c r="K14" s="33"/>
      <c r="L14" s="33">
        <f>+J14-K14</f>
        <v>0</v>
      </c>
      <c r="M14" s="33"/>
      <c r="N14" s="33"/>
      <c r="O14" s="33"/>
      <c r="P14" s="33"/>
      <c r="Q14" s="33"/>
      <c r="R14" s="24"/>
      <c r="S14" s="24"/>
      <c r="T14" s="24"/>
    </row>
    <row r="15" spans="1:20" x14ac:dyDescent="0.2">
      <c r="A15" s="27"/>
      <c r="B15" s="29"/>
      <c r="C15" s="25" t="s">
        <v>182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4"/>
      <c r="S15" s="24"/>
      <c r="T15" s="24"/>
    </row>
    <row r="16" spans="1:20" x14ac:dyDescent="0.2">
      <c r="A16" s="27"/>
      <c r="B16" s="29"/>
      <c r="C16" s="31" t="s">
        <v>181</v>
      </c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4"/>
      <c r="S16" s="24"/>
      <c r="T16" s="24"/>
    </row>
    <row r="17" spans="1:20" x14ac:dyDescent="0.2">
      <c r="A17" s="27"/>
      <c r="B17" s="29"/>
      <c r="C17" s="25" t="s">
        <v>180</v>
      </c>
      <c r="D17" s="33"/>
      <c r="E17" s="33"/>
      <c r="F17" s="33"/>
      <c r="G17" s="33"/>
      <c r="H17" s="33"/>
      <c r="I17" s="33"/>
      <c r="J17" s="33"/>
      <c r="K17" s="33"/>
      <c r="L17" s="33"/>
      <c r="M17" s="33">
        <f>+K17-J17</f>
        <v>0</v>
      </c>
      <c r="N17" s="33"/>
      <c r="O17" s="33"/>
      <c r="P17" s="33"/>
      <c r="Q17" s="33"/>
      <c r="R17" s="24"/>
      <c r="S17" s="24"/>
      <c r="T17" s="24"/>
    </row>
    <row r="18" spans="1:20" x14ac:dyDescent="0.2">
      <c r="A18" s="27"/>
      <c r="B18" s="29"/>
      <c r="C18" s="25" t="s">
        <v>179</v>
      </c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24"/>
      <c r="S18" s="24"/>
      <c r="T18" s="24"/>
    </row>
    <row r="19" spans="1:20" x14ac:dyDescent="0.2">
      <c r="A19" s="27"/>
      <c r="B19" s="29"/>
      <c r="C19" s="25" t="s">
        <v>178</v>
      </c>
      <c r="D19" s="33"/>
      <c r="E19" s="33"/>
      <c r="F19" s="33"/>
      <c r="G19" s="33"/>
      <c r="H19" s="33">
        <f>G19</f>
        <v>0</v>
      </c>
      <c r="I19" s="33"/>
      <c r="J19" s="33"/>
      <c r="K19" s="33"/>
      <c r="L19" s="33"/>
      <c r="M19" s="33"/>
      <c r="N19" s="33"/>
      <c r="O19" s="33"/>
      <c r="P19" s="33"/>
      <c r="Q19" s="33"/>
      <c r="R19" s="24"/>
      <c r="S19" s="24"/>
      <c r="T19" s="24"/>
    </row>
    <row r="20" spans="1:20" x14ac:dyDescent="0.2">
      <c r="A20" s="27"/>
      <c r="B20" s="29"/>
      <c r="C20" s="32" t="s">
        <v>177</v>
      </c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4"/>
      <c r="S20" s="24"/>
      <c r="T20" s="24"/>
    </row>
    <row r="21" spans="1:20" x14ac:dyDescent="0.2">
      <c r="A21" s="27"/>
      <c r="B21" s="29"/>
      <c r="C21" s="25" t="s">
        <v>176</v>
      </c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24"/>
      <c r="S21" s="24"/>
      <c r="T21" s="24"/>
    </row>
    <row r="22" spans="1:20" x14ac:dyDescent="0.2">
      <c r="A22" s="27"/>
      <c r="B22" s="29"/>
      <c r="C22" s="25" t="s">
        <v>139</v>
      </c>
      <c r="D22" s="33">
        <v>713188.46</v>
      </c>
      <c r="E22" s="33"/>
      <c r="F22" s="33"/>
      <c r="G22" s="33"/>
      <c r="H22" s="33"/>
      <c r="I22" s="33" t="s">
        <v>175</v>
      </c>
      <c r="J22" s="33">
        <v>713188.46</v>
      </c>
      <c r="K22" s="33"/>
      <c r="L22" s="33"/>
      <c r="M22" s="33">
        <f>+K22-J22</f>
        <v>-713188.46</v>
      </c>
      <c r="N22" s="33"/>
      <c r="O22" s="33"/>
      <c r="P22" s="33" t="s">
        <v>127</v>
      </c>
      <c r="Q22" s="33">
        <v>713188.46</v>
      </c>
      <c r="R22" s="24"/>
      <c r="S22" s="24"/>
      <c r="T22" s="24"/>
    </row>
    <row r="23" spans="1:20" s="20" customFormat="1" ht="15.75" x14ac:dyDescent="0.25">
      <c r="A23" s="30"/>
      <c r="B23" s="26" t="s">
        <v>23</v>
      </c>
      <c r="C23" s="89"/>
      <c r="D23" s="28"/>
      <c r="E23" s="28">
        <f>SUM(E24:E33)</f>
        <v>0</v>
      </c>
      <c r="F23" s="28"/>
      <c r="G23" s="28"/>
      <c r="H23" s="28">
        <f>SUM(H24:H44)</f>
        <v>-136317090.89000002</v>
      </c>
      <c r="I23" s="28"/>
      <c r="J23" s="28"/>
      <c r="K23" s="28"/>
      <c r="L23" s="28"/>
      <c r="M23" s="28"/>
      <c r="N23" s="28"/>
      <c r="O23" s="28"/>
      <c r="P23" s="28"/>
      <c r="Q23" s="28"/>
      <c r="R23" s="23"/>
      <c r="S23" s="23"/>
      <c r="T23" s="23"/>
    </row>
    <row r="24" spans="1:20" x14ac:dyDescent="0.2">
      <c r="A24" s="27"/>
      <c r="B24" s="29"/>
      <c r="C24" s="31" t="s">
        <v>24</v>
      </c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4"/>
      <c r="S24" s="24"/>
      <c r="T24" s="24"/>
    </row>
    <row r="25" spans="1:20" x14ac:dyDescent="0.2">
      <c r="A25" s="27"/>
      <c r="B25" s="29"/>
      <c r="C25" s="25" t="s">
        <v>140</v>
      </c>
      <c r="D25" s="33">
        <f>H25</f>
        <v>-5458382.25</v>
      </c>
      <c r="E25" s="33" t="s">
        <v>29</v>
      </c>
      <c r="F25" s="33">
        <v>5458382.25</v>
      </c>
      <c r="G25" s="33"/>
      <c r="H25" s="33">
        <f t="shared" ref="H25:H32" si="0">-(+F25-G25)</f>
        <v>-5458382.25</v>
      </c>
      <c r="I25" s="34" t="s">
        <v>114</v>
      </c>
      <c r="J25" s="34"/>
      <c r="K25" s="91">
        <v>5458382.25</v>
      </c>
      <c r="L25" s="34"/>
      <c r="M25" s="33">
        <f>+K25-J25</f>
        <v>5458382.25</v>
      </c>
      <c r="N25" s="33"/>
      <c r="O25" s="33"/>
      <c r="P25" s="33"/>
      <c r="Q25" s="33"/>
      <c r="R25" s="24"/>
      <c r="S25" s="24"/>
      <c r="T25" s="24"/>
    </row>
    <row r="26" spans="1:20" x14ac:dyDescent="0.2">
      <c r="A26" s="27"/>
      <c r="B26" s="29"/>
      <c r="C26" s="25" t="s">
        <v>141</v>
      </c>
      <c r="D26" s="33">
        <f>H26</f>
        <v>-103507.5</v>
      </c>
      <c r="E26" s="33" t="s">
        <v>174</v>
      </c>
      <c r="F26" s="33">
        <v>103507.5</v>
      </c>
      <c r="G26" s="33"/>
      <c r="H26" s="33">
        <f t="shared" si="0"/>
        <v>-103507.5</v>
      </c>
      <c r="I26" s="34" t="s">
        <v>114</v>
      </c>
      <c r="J26" s="34"/>
      <c r="K26" s="91">
        <v>103507.5</v>
      </c>
      <c r="L26" s="34"/>
      <c r="M26" s="33">
        <f>+K26-J26</f>
        <v>103507.5</v>
      </c>
      <c r="N26" s="33"/>
      <c r="O26" s="33"/>
      <c r="P26" s="33"/>
      <c r="Q26" s="33"/>
      <c r="R26" s="24"/>
      <c r="S26" s="24"/>
      <c r="T26" s="24"/>
    </row>
    <row r="27" spans="1:20" x14ac:dyDescent="0.2">
      <c r="A27" s="27"/>
      <c r="B27" s="29"/>
      <c r="C27" s="25" t="s">
        <v>142</v>
      </c>
      <c r="D27" s="33">
        <f>H27</f>
        <v>-58.44</v>
      </c>
      <c r="E27" s="33" t="s">
        <v>53</v>
      </c>
      <c r="F27" s="33">
        <v>58.44</v>
      </c>
      <c r="G27" s="33"/>
      <c r="H27" s="33">
        <f t="shared" si="0"/>
        <v>-58.44</v>
      </c>
      <c r="I27" s="34" t="s">
        <v>114</v>
      </c>
      <c r="J27" s="34"/>
      <c r="K27" s="91">
        <v>58.44</v>
      </c>
      <c r="L27" s="34"/>
      <c r="M27" s="33">
        <f>+K27-J27</f>
        <v>58.44</v>
      </c>
      <c r="N27" s="33"/>
      <c r="O27" s="33"/>
      <c r="P27" s="33"/>
      <c r="Q27" s="33"/>
      <c r="R27" s="24"/>
      <c r="S27" s="24"/>
      <c r="T27" s="24"/>
    </row>
    <row r="28" spans="1:20" x14ac:dyDescent="0.2">
      <c r="A28" s="27"/>
      <c r="B28" s="29"/>
      <c r="C28" s="25" t="s">
        <v>143</v>
      </c>
      <c r="D28" s="33">
        <f>H28</f>
        <v>-534100</v>
      </c>
      <c r="E28" s="33" t="s">
        <v>43</v>
      </c>
      <c r="F28" s="33">
        <v>534100</v>
      </c>
      <c r="G28" s="33"/>
      <c r="H28" s="33">
        <f t="shared" si="0"/>
        <v>-534100</v>
      </c>
      <c r="I28" s="34" t="s">
        <v>114</v>
      </c>
      <c r="J28" s="34"/>
      <c r="K28" s="91">
        <v>534100</v>
      </c>
      <c r="L28" s="34"/>
      <c r="M28" s="33">
        <f>+K28-J28</f>
        <v>534100</v>
      </c>
      <c r="N28" s="33"/>
      <c r="O28" s="33"/>
      <c r="P28" s="33"/>
      <c r="Q28" s="33"/>
      <c r="R28" s="24"/>
      <c r="S28" s="24"/>
      <c r="T28" s="24"/>
    </row>
    <row r="29" spans="1:20" ht="17.25" x14ac:dyDescent="0.3">
      <c r="A29" s="27"/>
      <c r="B29" s="29"/>
      <c r="C29" s="25" t="s">
        <v>144</v>
      </c>
      <c r="D29" s="33">
        <f>L29</f>
        <v>-23685</v>
      </c>
      <c r="E29" s="33"/>
      <c r="F29" s="33"/>
      <c r="G29" s="92"/>
      <c r="H29" s="33">
        <f t="shared" si="0"/>
        <v>0</v>
      </c>
      <c r="I29" s="33" t="s">
        <v>173</v>
      </c>
      <c r="J29" s="92"/>
      <c r="K29" s="33">
        <v>23685</v>
      </c>
      <c r="L29" s="33">
        <f>J29-K29</f>
        <v>-23685</v>
      </c>
      <c r="M29" s="33"/>
      <c r="N29" s="33"/>
      <c r="O29" s="33"/>
      <c r="P29" s="93"/>
      <c r="Q29" s="33">
        <v>-23685</v>
      </c>
      <c r="R29" s="24"/>
      <c r="S29" s="24"/>
      <c r="T29" s="24"/>
    </row>
    <row r="30" spans="1:20" x14ac:dyDescent="0.2">
      <c r="A30" s="27"/>
      <c r="B30" s="29"/>
      <c r="C30" s="25" t="s">
        <v>145</v>
      </c>
      <c r="D30" s="33">
        <f>Q30</f>
        <v>-271741.58</v>
      </c>
      <c r="E30" s="33"/>
      <c r="F30" s="33"/>
      <c r="G30" s="33"/>
      <c r="H30" s="33">
        <f t="shared" si="0"/>
        <v>0</v>
      </c>
      <c r="I30" s="33" t="s">
        <v>172</v>
      </c>
      <c r="J30" s="33"/>
      <c r="K30" s="33">
        <v>271741.58</v>
      </c>
      <c r="L30" s="33">
        <f>J30-K30</f>
        <v>-271741.58</v>
      </c>
      <c r="M30" s="33"/>
      <c r="N30" s="33"/>
      <c r="O30" s="33"/>
      <c r="P30" s="33"/>
      <c r="Q30" s="33">
        <v>-271741.58</v>
      </c>
      <c r="R30" s="24"/>
      <c r="S30" s="24"/>
      <c r="T30" s="24"/>
    </row>
    <row r="31" spans="1:20" x14ac:dyDescent="0.2">
      <c r="A31" s="27"/>
      <c r="B31" s="29"/>
      <c r="C31" s="25" t="s">
        <v>146</v>
      </c>
      <c r="D31" s="33">
        <f>H31+Q31</f>
        <v>-400603.9</v>
      </c>
      <c r="E31" s="33"/>
      <c r="F31" s="33"/>
      <c r="G31" s="33"/>
      <c r="H31" s="33">
        <f t="shared" si="0"/>
        <v>0</v>
      </c>
      <c r="I31" s="33" t="s">
        <v>171</v>
      </c>
      <c r="J31" s="33"/>
      <c r="K31" s="33">
        <f>371803.9+28800</f>
        <v>400603.9</v>
      </c>
      <c r="L31" s="33">
        <f>J31-K31</f>
        <v>-400603.9</v>
      </c>
      <c r="M31" s="33"/>
      <c r="N31" s="33"/>
      <c r="O31" s="33"/>
      <c r="P31" s="33"/>
      <c r="Q31" s="33">
        <f>-28800-371803.9</f>
        <v>-400603.9</v>
      </c>
      <c r="R31" s="24"/>
      <c r="S31" s="24"/>
      <c r="T31" s="24"/>
    </row>
    <row r="32" spans="1:20" x14ac:dyDescent="0.2">
      <c r="A32" s="27"/>
      <c r="B32" s="29"/>
      <c r="C32" s="25" t="s">
        <v>147</v>
      </c>
      <c r="D32" s="33">
        <f>Q32</f>
        <v>-8780</v>
      </c>
      <c r="E32" s="33"/>
      <c r="F32" s="33"/>
      <c r="G32" s="33"/>
      <c r="H32" s="33">
        <f t="shared" si="0"/>
        <v>0</v>
      </c>
      <c r="I32" s="33" t="s">
        <v>170</v>
      </c>
      <c r="J32" s="33"/>
      <c r="K32" s="33">
        <v>8780</v>
      </c>
      <c r="L32" s="33">
        <f>J32-K32</f>
        <v>-8780</v>
      </c>
      <c r="M32" s="33"/>
      <c r="N32" s="33"/>
      <c r="O32" s="33"/>
      <c r="P32" s="33"/>
      <c r="Q32" s="33">
        <v>-8780</v>
      </c>
      <c r="R32" s="24"/>
      <c r="S32" s="24"/>
      <c r="T32" s="24"/>
    </row>
    <row r="33" spans="1:20" x14ac:dyDescent="0.2">
      <c r="A33" s="27"/>
      <c r="B33" s="29"/>
      <c r="C33" s="31" t="s">
        <v>71</v>
      </c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4"/>
      <c r="S33" s="24"/>
      <c r="T33" s="24"/>
    </row>
    <row r="34" spans="1:20" x14ac:dyDescent="0.2">
      <c r="A34" s="27"/>
      <c r="B34" s="29"/>
      <c r="C34" s="25" t="s">
        <v>148</v>
      </c>
      <c r="D34" s="33">
        <f>H34</f>
        <v>100</v>
      </c>
      <c r="E34" s="33" t="s">
        <v>29</v>
      </c>
      <c r="F34" s="33"/>
      <c r="G34" s="94">
        <v>100</v>
      </c>
      <c r="H34" s="33">
        <f>-(+F34-G34)</f>
        <v>100</v>
      </c>
      <c r="I34" s="33" t="s">
        <v>114</v>
      </c>
      <c r="J34" s="33">
        <v>100</v>
      </c>
      <c r="K34" s="33"/>
      <c r="L34" s="33"/>
      <c r="M34" s="33">
        <f>+K34-J34</f>
        <v>-100</v>
      </c>
      <c r="N34" s="33"/>
      <c r="O34" s="33"/>
      <c r="P34" s="93"/>
      <c r="Q34" s="33"/>
      <c r="R34" s="24"/>
      <c r="S34" s="24"/>
      <c r="T34" s="24"/>
    </row>
    <row r="35" spans="1:20" x14ac:dyDescent="0.2">
      <c r="A35" s="27"/>
      <c r="B35" s="29"/>
      <c r="C35" s="25" t="s">
        <v>149</v>
      </c>
      <c r="D35" s="33">
        <f>H35</f>
        <v>38480</v>
      </c>
      <c r="E35" s="33" t="s">
        <v>43</v>
      </c>
      <c r="F35" s="33"/>
      <c r="G35" s="94">
        <v>38480</v>
      </c>
      <c r="H35" s="33">
        <f>-(+F35-G35)</f>
        <v>38480</v>
      </c>
      <c r="I35" s="33" t="s">
        <v>114</v>
      </c>
      <c r="J35" s="33">
        <v>38480</v>
      </c>
      <c r="K35" s="33"/>
      <c r="L35" s="33"/>
      <c r="M35" s="33">
        <f>+K35-J35</f>
        <v>-38480</v>
      </c>
      <c r="N35" s="33"/>
      <c r="O35" s="33"/>
      <c r="P35" s="33"/>
      <c r="Q35" s="33"/>
      <c r="R35" s="24"/>
      <c r="S35" s="24"/>
      <c r="T35" s="24"/>
    </row>
    <row r="36" spans="1:20" x14ac:dyDescent="0.2">
      <c r="A36" s="27"/>
      <c r="B36" s="29"/>
      <c r="C36" s="25" t="s">
        <v>150</v>
      </c>
      <c r="D36" s="33">
        <f>H36</f>
        <v>204010.52</v>
      </c>
      <c r="E36" s="33" t="s">
        <v>53</v>
      </c>
      <c r="F36" s="33"/>
      <c r="G36" s="94">
        <v>204010.52</v>
      </c>
      <c r="H36" s="33">
        <f>-(+F36-G36)</f>
        <v>204010.52</v>
      </c>
      <c r="I36" s="33" t="s">
        <v>114</v>
      </c>
      <c r="J36" s="33">
        <v>204010.52</v>
      </c>
      <c r="K36" s="33"/>
      <c r="L36" s="33"/>
      <c r="M36" s="33">
        <f>+K36-J36</f>
        <v>-204010.52</v>
      </c>
      <c r="N36" s="33"/>
      <c r="O36" s="33"/>
      <c r="P36" s="33"/>
      <c r="Q36" s="33"/>
      <c r="R36" s="24"/>
      <c r="S36" s="24"/>
      <c r="T36" s="24"/>
    </row>
    <row r="37" spans="1:20" x14ac:dyDescent="0.2">
      <c r="A37" s="27"/>
      <c r="B37" s="29"/>
      <c r="C37" s="25" t="s">
        <v>169</v>
      </c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4"/>
      <c r="S37" s="24"/>
      <c r="T37" s="24"/>
    </row>
    <row r="38" spans="1:20" s="20" customFormat="1" ht="17.25" x14ac:dyDescent="0.3">
      <c r="A38" s="30"/>
      <c r="B38" s="26"/>
      <c r="C38" s="25" t="s">
        <v>151</v>
      </c>
      <c r="D38" s="33">
        <f>Q38</f>
        <v>82792.240000000005</v>
      </c>
      <c r="E38" s="33"/>
      <c r="F38" s="92"/>
      <c r="G38" s="94"/>
      <c r="H38" s="33">
        <f>-(+F38-G38)</f>
        <v>0</v>
      </c>
      <c r="I38" s="33" t="s">
        <v>168</v>
      </c>
      <c r="J38" s="33">
        <v>82792.240000000005</v>
      </c>
      <c r="K38" s="33"/>
      <c r="L38" s="33">
        <f>J38-K38</f>
        <v>82792.240000000005</v>
      </c>
      <c r="M38" s="28"/>
      <c r="N38" s="28"/>
      <c r="O38" s="28"/>
      <c r="P38" s="28"/>
      <c r="Q38" s="33">
        <v>82792.240000000005</v>
      </c>
      <c r="R38" s="23"/>
      <c r="S38" s="23"/>
      <c r="T38" s="23"/>
    </row>
    <row r="39" spans="1:20" s="20" customFormat="1" ht="15.75" x14ac:dyDescent="0.25">
      <c r="A39" s="30"/>
      <c r="B39" s="26"/>
      <c r="C39" s="29" t="s">
        <v>87</v>
      </c>
      <c r="D39" s="28"/>
      <c r="E39" s="28"/>
      <c r="F39" s="28"/>
      <c r="G39" s="28"/>
      <c r="H39" s="33"/>
      <c r="I39" s="28"/>
      <c r="J39" s="28"/>
      <c r="K39" s="28"/>
      <c r="L39" s="28"/>
      <c r="M39" s="28"/>
      <c r="N39" s="28"/>
      <c r="O39" s="28"/>
      <c r="P39" s="28"/>
      <c r="Q39" s="28"/>
      <c r="R39" s="23"/>
      <c r="S39" s="23"/>
      <c r="T39" s="23"/>
    </row>
    <row r="40" spans="1:20" ht="15.75" x14ac:dyDescent="0.25">
      <c r="A40" s="27"/>
      <c r="B40" s="26"/>
      <c r="C40" s="25" t="s">
        <v>167</v>
      </c>
      <c r="D40" s="95"/>
      <c r="E40" s="96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24"/>
      <c r="S40" s="24"/>
      <c r="T40" s="24"/>
    </row>
    <row r="41" spans="1:20" ht="15.75" x14ac:dyDescent="0.25">
      <c r="A41" s="27"/>
      <c r="B41" s="26"/>
      <c r="C41" s="25" t="s">
        <v>137</v>
      </c>
      <c r="D41" s="33">
        <f>H41</f>
        <v>1891690.2000000002</v>
      </c>
      <c r="E41" s="96" t="s">
        <v>34</v>
      </c>
      <c r="F41" s="33"/>
      <c r="G41" s="33">
        <v>1891690.2000000002</v>
      </c>
      <c r="H41" s="33">
        <f>-(+F41-G41)</f>
        <v>1891690.2000000002</v>
      </c>
      <c r="I41" s="33" t="s">
        <v>165</v>
      </c>
      <c r="J41" s="33">
        <v>1891690.2000000002</v>
      </c>
      <c r="K41" s="33"/>
      <c r="L41" s="33">
        <f>J41-K41</f>
        <v>1891690.2000000002</v>
      </c>
      <c r="M41" s="33"/>
      <c r="N41" s="33"/>
      <c r="O41" s="33"/>
      <c r="P41" s="33"/>
      <c r="Q41" s="33"/>
      <c r="R41" s="24"/>
      <c r="S41" s="24"/>
      <c r="T41" s="24"/>
    </row>
    <row r="42" spans="1:20" ht="15.75" x14ac:dyDescent="0.25">
      <c r="A42" s="27"/>
      <c r="B42" s="26"/>
      <c r="C42" s="25" t="s">
        <v>166</v>
      </c>
      <c r="D42" s="95"/>
      <c r="E42" s="96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24"/>
      <c r="S42" s="24"/>
      <c r="T42" s="24"/>
    </row>
    <row r="43" spans="1:20" ht="15.75" x14ac:dyDescent="0.25">
      <c r="A43" s="27"/>
      <c r="B43" s="26"/>
      <c r="C43" s="25" t="s">
        <v>138</v>
      </c>
      <c r="D43" s="33">
        <v>-0.18</v>
      </c>
      <c r="E43" s="96"/>
      <c r="F43" s="33"/>
      <c r="G43" s="33"/>
      <c r="H43" s="33">
        <f>-(+F43-G43)</f>
        <v>0</v>
      </c>
      <c r="I43" s="33" t="s">
        <v>89</v>
      </c>
      <c r="J43" s="33"/>
      <c r="K43" s="33">
        <v>0.18</v>
      </c>
      <c r="L43" s="33">
        <f>J43-K43</f>
        <v>-0.18</v>
      </c>
      <c r="M43" s="33"/>
      <c r="N43" s="33"/>
      <c r="O43" s="33"/>
      <c r="P43" s="33"/>
      <c r="Q43" s="33">
        <v>-0.18</v>
      </c>
      <c r="R43" s="24"/>
      <c r="S43" s="24"/>
      <c r="T43" s="24"/>
    </row>
    <row r="44" spans="1:20" ht="15.75" x14ac:dyDescent="0.25">
      <c r="A44" s="27"/>
      <c r="B44" s="26"/>
      <c r="C44" s="25" t="s">
        <v>96</v>
      </c>
      <c r="D44" s="33">
        <f>H44</f>
        <v>-132355323.42</v>
      </c>
      <c r="E44" s="96" t="s">
        <v>34</v>
      </c>
      <c r="F44" s="33">
        <v>132355323.42</v>
      </c>
      <c r="G44" s="33"/>
      <c r="H44" s="33">
        <f>-(+F44-G44)</f>
        <v>-132355323.42</v>
      </c>
      <c r="I44" s="33" t="s">
        <v>165</v>
      </c>
      <c r="J44" s="33"/>
      <c r="K44" s="33">
        <v>132355323.42</v>
      </c>
      <c r="L44" s="33">
        <f>J44-K44</f>
        <v>-132355323.42</v>
      </c>
      <c r="M44" s="33"/>
      <c r="N44" s="33"/>
      <c r="O44" s="33"/>
      <c r="P44" s="33"/>
      <c r="Q44" s="33"/>
      <c r="R44" s="24"/>
      <c r="S44" s="24"/>
      <c r="T44" s="24"/>
    </row>
    <row r="45" spans="1:20" s="20" customFormat="1" ht="15.75" x14ac:dyDescent="0.25">
      <c r="A45" s="30" t="s">
        <v>164</v>
      </c>
      <c r="B45" s="26"/>
      <c r="C45" s="89"/>
      <c r="D45" s="28">
        <f>SUM(D9:D44)</f>
        <v>61770116.089999989</v>
      </c>
      <c r="E45" s="28">
        <f>E9+E39+E23+E11</f>
        <v>0</v>
      </c>
      <c r="F45" s="28"/>
      <c r="G45" s="28"/>
      <c r="H45" s="28">
        <f>H23</f>
        <v>-136317090.89000002</v>
      </c>
      <c r="I45" s="28">
        <f>SUM(I12:I44)</f>
        <v>0</v>
      </c>
      <c r="J45" s="28"/>
      <c r="K45" s="28"/>
      <c r="L45" s="28">
        <f>SUM(L12:L44)</f>
        <v>-131085651.64</v>
      </c>
      <c r="M45" s="28">
        <f>SUM(M11:M44)</f>
        <v>5140269.2100000009</v>
      </c>
      <c r="N45" s="28"/>
      <c r="O45" s="28">
        <f>SUM(O11:O44)</f>
        <v>0</v>
      </c>
      <c r="P45" s="28"/>
      <c r="Q45" s="28">
        <f>SUM(Q11:Q44)</f>
        <v>91170.039999999935</v>
      </c>
      <c r="R45" s="23"/>
      <c r="S45" s="23"/>
      <c r="T45" s="23"/>
    </row>
    <row r="46" spans="1:20" x14ac:dyDescent="0.2">
      <c r="A46" s="21" t="s">
        <v>163</v>
      </c>
      <c r="D46" s="22"/>
      <c r="E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</row>
    <row r="47" spans="1:20" ht="15.75" x14ac:dyDescent="0.25">
      <c r="A47" s="21"/>
      <c r="C47" s="20" t="s">
        <v>117</v>
      </c>
      <c r="E47" s="20" t="s">
        <v>162</v>
      </c>
      <c r="I47" s="20" t="s">
        <v>161</v>
      </c>
      <c r="J47" s="24"/>
      <c r="K47" s="24"/>
      <c r="L47" s="24"/>
      <c r="M47" s="20"/>
      <c r="N47" s="20"/>
      <c r="O47" s="20"/>
      <c r="P47" s="19" t="s">
        <v>160</v>
      </c>
      <c r="Q47" s="24"/>
      <c r="R47" s="24"/>
      <c r="S47" s="24"/>
      <c r="T47" s="24"/>
    </row>
    <row r="48" spans="1:20" x14ac:dyDescent="0.2">
      <c r="C48" s="18" t="s">
        <v>121</v>
      </c>
      <c r="D48" s="24">
        <f>D45</f>
        <v>61770116.089999989</v>
      </c>
      <c r="I48" s="24"/>
      <c r="J48" s="97" t="s">
        <v>122</v>
      </c>
      <c r="K48" s="17"/>
      <c r="L48" s="24">
        <f>L45</f>
        <v>-131085651.64</v>
      </c>
      <c r="M48" s="24"/>
      <c r="N48" s="24"/>
      <c r="O48" s="24"/>
      <c r="P48" s="24"/>
      <c r="Q48" s="24"/>
      <c r="R48" s="24"/>
      <c r="S48" s="24"/>
      <c r="T48" s="24"/>
    </row>
    <row r="49" spans="3:20" x14ac:dyDescent="0.2">
      <c r="C49" s="18" t="s">
        <v>123</v>
      </c>
      <c r="D49" s="24">
        <f>D9</f>
        <v>197996036.94</v>
      </c>
      <c r="I49" s="24"/>
      <c r="J49" s="97" t="s">
        <v>124</v>
      </c>
      <c r="K49" s="17"/>
      <c r="L49" s="24">
        <f>M45</f>
        <v>5140269.2100000009</v>
      </c>
      <c r="M49" s="24"/>
      <c r="N49" s="24"/>
      <c r="O49" s="24"/>
      <c r="P49" s="24"/>
      <c r="Q49" s="24"/>
      <c r="R49" s="24"/>
      <c r="S49" s="24"/>
      <c r="T49" s="24"/>
    </row>
    <row r="50" spans="3:20" ht="15.75" x14ac:dyDescent="0.25">
      <c r="C50" s="16" t="s">
        <v>125</v>
      </c>
      <c r="D50" s="23">
        <f>+D48-D49</f>
        <v>-136225920.85000002</v>
      </c>
      <c r="E50" s="15" t="s">
        <v>126</v>
      </c>
      <c r="H50" s="14">
        <f>+H45</f>
        <v>-136317090.89000002</v>
      </c>
      <c r="I50" s="24"/>
      <c r="J50" s="97" t="s">
        <v>127</v>
      </c>
      <c r="K50" s="13"/>
      <c r="L50" s="23"/>
      <c r="M50" s="24"/>
      <c r="N50" s="24"/>
      <c r="O50" s="24">
        <f>O45</f>
        <v>0</v>
      </c>
      <c r="P50" s="23" t="s">
        <v>127</v>
      </c>
      <c r="Q50" s="23">
        <f>Q45</f>
        <v>91170.039999999935</v>
      </c>
      <c r="R50" s="24"/>
      <c r="S50" s="24"/>
      <c r="T50" s="24"/>
    </row>
    <row r="51" spans="3:20" ht="15.75" x14ac:dyDescent="0.25">
      <c r="I51" s="24"/>
      <c r="J51" s="98" t="s">
        <v>128</v>
      </c>
      <c r="K51" s="23"/>
      <c r="L51" s="23">
        <f>L48-L49</f>
        <v>-136225920.84999999</v>
      </c>
      <c r="M51" s="23"/>
      <c r="N51" s="23"/>
      <c r="O51" s="23">
        <f>+L48-L49-O50</f>
        <v>-136225920.84999999</v>
      </c>
      <c r="P51" s="24"/>
      <c r="Q51" s="24"/>
      <c r="R51" s="24"/>
      <c r="S51" s="24"/>
      <c r="T51" s="24"/>
    </row>
    <row r="52" spans="3:20" ht="15.75" x14ac:dyDescent="0.25">
      <c r="I52" s="24"/>
      <c r="J52" s="98"/>
      <c r="K52" s="23"/>
      <c r="L52" s="23"/>
      <c r="M52" s="23"/>
      <c r="N52" s="23"/>
      <c r="O52" s="23"/>
      <c r="P52" s="24"/>
      <c r="Q52" s="24"/>
      <c r="R52" s="24"/>
      <c r="S52" s="24"/>
      <c r="T52" s="24"/>
    </row>
    <row r="53" spans="3:20" ht="15.75" x14ac:dyDescent="0.25">
      <c r="H53" s="12"/>
      <c r="I53" s="24"/>
      <c r="J53" s="98"/>
      <c r="K53" s="23"/>
      <c r="L53" s="23"/>
      <c r="M53" s="23"/>
      <c r="N53" s="23"/>
      <c r="O53" s="23"/>
      <c r="P53" s="24"/>
      <c r="Q53" s="24"/>
      <c r="R53" s="24"/>
      <c r="S53" s="24"/>
      <c r="T53" s="24"/>
    </row>
    <row r="54" spans="3:20" x14ac:dyDescent="0.2">
      <c r="C54" s="8" t="s">
        <v>131</v>
      </c>
      <c r="F54" s="8" t="s">
        <v>159</v>
      </c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</row>
    <row r="55" spans="3:20" x14ac:dyDescent="0.2"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</row>
    <row r="56" spans="3:20" x14ac:dyDescent="0.2"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</row>
    <row r="57" spans="3:20" x14ac:dyDescent="0.2">
      <c r="C57" s="86" t="s">
        <v>158</v>
      </c>
      <c r="G57" s="349" t="s">
        <v>133</v>
      </c>
      <c r="H57" s="349"/>
      <c r="I57" s="24"/>
      <c r="J57" s="24"/>
      <c r="K57" s="24"/>
    </row>
    <row r="58" spans="3:20" hidden="1" x14ac:dyDescent="0.2">
      <c r="C58" s="87" t="s">
        <v>157</v>
      </c>
      <c r="I58" s="24"/>
      <c r="J58" s="24"/>
      <c r="K58" s="24"/>
    </row>
    <row r="59" spans="3:20" x14ac:dyDescent="0.2">
      <c r="C59" s="87" t="s">
        <v>156</v>
      </c>
      <c r="G59" s="336" t="s">
        <v>135</v>
      </c>
      <c r="H59" s="336"/>
      <c r="I59" s="24"/>
      <c r="J59" s="24"/>
      <c r="K59" s="24"/>
    </row>
    <row r="61" spans="3:20" x14ac:dyDescent="0.2">
      <c r="C61" s="11"/>
      <c r="D61" s="99"/>
    </row>
    <row r="62" spans="3:20" x14ac:dyDescent="0.2">
      <c r="C62" s="10"/>
      <c r="D62" s="99">
        <f>D45</f>
        <v>61770116.089999989</v>
      </c>
      <c r="E62" s="100"/>
    </row>
    <row r="63" spans="3:20" x14ac:dyDescent="0.2">
      <c r="C63" s="10"/>
      <c r="D63" s="101" t="e">
        <f>#REF!</f>
        <v>#REF!</v>
      </c>
      <c r="E63" s="100"/>
    </row>
    <row r="64" spans="3:20" x14ac:dyDescent="0.2">
      <c r="D64" s="99" t="e">
        <f>D62-D63</f>
        <v>#REF!</v>
      </c>
      <c r="E64" s="9"/>
    </row>
  </sheetData>
  <mergeCells count="9">
    <mergeCell ref="P6:Q8"/>
    <mergeCell ref="E7:H7"/>
    <mergeCell ref="I7:M7"/>
    <mergeCell ref="G57:H57"/>
    <mergeCell ref="G59:H59"/>
    <mergeCell ref="A6:C8"/>
    <mergeCell ref="D6:D8"/>
    <mergeCell ref="E6:M6"/>
    <mergeCell ref="N6:O8"/>
  </mergeCells>
  <printOptions horizontalCentered="1"/>
  <pageMargins left="0.23622047244094499" right="0.23622047244094499" top="0.74803149606299202" bottom="0.74803149606299202" header="0.31496062992126" footer="0.31496062992126"/>
  <pageSetup paperSize="9" scale="34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1"/>
  <sheetViews>
    <sheetView view="pageBreakPreview" zoomScale="85" zoomScaleNormal="85" zoomScaleSheetLayoutView="85" workbookViewId="0">
      <selection activeCell="D62" sqref="D62"/>
    </sheetView>
  </sheetViews>
  <sheetFormatPr defaultColWidth="9.140625" defaultRowHeight="15" x14ac:dyDescent="0.2"/>
  <cols>
    <col min="1" max="1" width="2.28515625" style="38" customWidth="1"/>
    <col min="2" max="2" width="4.42578125" style="38" customWidth="1"/>
    <col min="3" max="3" width="70.5703125" style="38" bestFit="1" customWidth="1"/>
    <col min="4" max="4" width="24.85546875" style="39" customWidth="1"/>
    <col min="5" max="5" width="33" style="38" bestFit="1" customWidth="1"/>
    <col min="6" max="6" width="18.28515625" style="38" bestFit="1" customWidth="1"/>
    <col min="7" max="7" width="14.28515625" style="38" bestFit="1" customWidth="1"/>
    <col min="8" max="8" width="19.5703125" style="38" customWidth="1"/>
    <col min="9" max="9" width="22.28515625" style="38" customWidth="1"/>
    <col min="10" max="10" width="18.140625" style="38" bestFit="1" customWidth="1"/>
    <col min="11" max="11" width="18.28515625" style="38" bestFit="1" customWidth="1"/>
    <col min="12" max="12" width="20.42578125" style="38" customWidth="1"/>
    <col min="13" max="13" width="12.42578125" style="38" customWidth="1"/>
    <col min="14" max="14" width="15.42578125" style="38" hidden="1" customWidth="1"/>
    <col min="15" max="15" width="24.28515625" style="38" hidden="1" customWidth="1"/>
    <col min="16" max="16" width="15.28515625" style="38" customWidth="1"/>
    <col min="17" max="17" width="14" style="38" customWidth="1"/>
    <col min="18" max="16384" width="9.140625" style="38"/>
  </cols>
  <sheetData>
    <row r="1" spans="1:20" ht="15.75" x14ac:dyDescent="0.25">
      <c r="A1" s="37" t="s">
        <v>0</v>
      </c>
    </row>
    <row r="2" spans="1:20" ht="15.75" x14ac:dyDescent="0.25">
      <c r="A2" s="37" t="s">
        <v>1</v>
      </c>
      <c r="B2" s="37"/>
    </row>
    <row r="3" spans="1:20" ht="15.75" x14ac:dyDescent="0.25">
      <c r="A3" s="37" t="str">
        <f>'FC1 SEPTEMBER'!A3</f>
        <v>As of September 30, 2023</v>
      </c>
      <c r="B3" s="37"/>
    </row>
    <row r="4" spans="1:20" ht="15.75" x14ac:dyDescent="0.25">
      <c r="A4" s="37" t="s">
        <v>302</v>
      </c>
      <c r="B4" s="37"/>
    </row>
    <row r="5" spans="1:20" ht="15.75" x14ac:dyDescent="0.25">
      <c r="A5" s="37"/>
      <c r="B5" s="37"/>
    </row>
    <row r="6" spans="1:20" ht="15.75" customHeight="1" x14ac:dyDescent="0.25">
      <c r="A6" s="353" t="s">
        <v>3</v>
      </c>
      <c r="B6" s="353"/>
      <c r="C6" s="353"/>
      <c r="D6" s="354" t="s">
        <v>4</v>
      </c>
      <c r="E6" s="355" t="s">
        <v>5</v>
      </c>
      <c r="F6" s="355"/>
      <c r="G6" s="355"/>
      <c r="H6" s="355"/>
      <c r="I6" s="355"/>
      <c r="J6" s="355"/>
      <c r="K6" s="355"/>
      <c r="L6" s="355"/>
      <c r="M6" s="355"/>
      <c r="N6" s="356" t="s">
        <v>184</v>
      </c>
      <c r="O6" s="357"/>
      <c r="P6" s="356" t="s">
        <v>242</v>
      </c>
      <c r="Q6" s="357"/>
    </row>
    <row r="7" spans="1:20" ht="15.75" x14ac:dyDescent="0.25">
      <c r="A7" s="353"/>
      <c r="B7" s="353"/>
      <c r="C7" s="353"/>
      <c r="D7" s="354"/>
      <c r="E7" s="362" t="s">
        <v>7</v>
      </c>
      <c r="F7" s="363"/>
      <c r="G7" s="363"/>
      <c r="H7" s="364"/>
      <c r="I7" s="355" t="s">
        <v>8</v>
      </c>
      <c r="J7" s="355"/>
      <c r="K7" s="355"/>
      <c r="L7" s="355"/>
      <c r="M7" s="355"/>
      <c r="N7" s="358"/>
      <c r="O7" s="359"/>
      <c r="P7" s="358"/>
      <c r="Q7" s="359"/>
    </row>
    <row r="8" spans="1:20" s="41" customFormat="1" ht="45" x14ac:dyDescent="0.25">
      <c r="A8" s="353"/>
      <c r="B8" s="353"/>
      <c r="C8" s="353"/>
      <c r="D8" s="354"/>
      <c r="E8" s="40" t="s">
        <v>9</v>
      </c>
      <c r="F8" s="40" t="s">
        <v>10</v>
      </c>
      <c r="G8" s="40" t="s">
        <v>11</v>
      </c>
      <c r="H8" s="40" t="s">
        <v>12</v>
      </c>
      <c r="I8" s="40" t="s">
        <v>9</v>
      </c>
      <c r="J8" s="40" t="s">
        <v>10</v>
      </c>
      <c r="K8" s="40" t="s">
        <v>11</v>
      </c>
      <c r="L8" s="40" t="s">
        <v>13</v>
      </c>
      <c r="M8" s="40" t="s">
        <v>14</v>
      </c>
      <c r="N8" s="360"/>
      <c r="O8" s="361"/>
      <c r="P8" s="360"/>
      <c r="Q8" s="361"/>
    </row>
    <row r="9" spans="1:20" ht="15.75" x14ac:dyDescent="0.25">
      <c r="A9" s="42" t="str">
        <f>'FC1 SEPTEMBER'!A9:C9</f>
        <v>Accumulated Surplus/(Deficit), Beginning Balance 1/1/2023</v>
      </c>
      <c r="B9" s="43"/>
      <c r="C9" s="44"/>
      <c r="D9" s="45">
        <v>0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</row>
    <row r="10" spans="1:20" hidden="1" x14ac:dyDescent="0.2">
      <c r="A10" s="47"/>
      <c r="B10" s="43"/>
      <c r="C10" s="44"/>
      <c r="D10" s="45"/>
      <c r="E10" s="46"/>
      <c r="F10" s="46"/>
      <c r="G10" s="46"/>
      <c r="H10" s="46"/>
      <c r="I10" s="45"/>
      <c r="J10" s="45"/>
      <c r="K10" s="45"/>
      <c r="L10" s="45"/>
      <c r="M10" s="45"/>
      <c r="N10" s="45"/>
      <c r="O10" s="45"/>
      <c r="P10" s="45"/>
      <c r="Q10" s="45"/>
      <c r="R10" s="39"/>
      <c r="S10" s="39"/>
      <c r="T10" s="39"/>
    </row>
    <row r="11" spans="1:20" s="37" customFormat="1" ht="15.75" hidden="1" x14ac:dyDescent="0.25">
      <c r="A11" s="42"/>
      <c r="B11" s="48" t="s">
        <v>16</v>
      </c>
      <c r="C11" s="49"/>
      <c r="D11" s="50"/>
      <c r="E11" s="50"/>
      <c r="F11" s="50"/>
      <c r="G11" s="50"/>
      <c r="H11" s="50">
        <f>SUM(H12:H19)</f>
        <v>0</v>
      </c>
      <c r="I11" s="50"/>
      <c r="J11" s="50"/>
      <c r="K11" s="50"/>
      <c r="L11" s="50"/>
      <c r="M11" s="50"/>
      <c r="N11" s="50"/>
      <c r="O11" s="50"/>
      <c r="P11" s="50"/>
      <c r="Q11" s="50"/>
      <c r="R11" s="51"/>
      <c r="S11" s="51"/>
      <c r="T11" s="51"/>
    </row>
    <row r="12" spans="1:20" hidden="1" x14ac:dyDescent="0.2">
      <c r="A12" s="47"/>
      <c r="B12" s="43"/>
      <c r="C12" s="44" t="s">
        <v>17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39"/>
      <c r="S12" s="39"/>
      <c r="T12" s="39"/>
    </row>
    <row r="13" spans="1:20" ht="15.75" hidden="1" x14ac:dyDescent="0.25">
      <c r="A13" s="47"/>
      <c r="B13" s="43"/>
      <c r="C13" s="52" t="s">
        <v>152</v>
      </c>
      <c r="D13" s="50"/>
      <c r="E13" s="45" t="s">
        <v>189</v>
      </c>
      <c r="F13" s="45"/>
      <c r="G13" s="45"/>
      <c r="H13" s="45">
        <f>+G13-F13</f>
        <v>0</v>
      </c>
      <c r="I13" s="45" t="s">
        <v>190</v>
      </c>
      <c r="J13" s="45"/>
      <c r="K13" s="45"/>
      <c r="L13" s="45">
        <f>+J13-K13</f>
        <v>0</v>
      </c>
      <c r="M13" s="45"/>
      <c r="N13" s="53"/>
      <c r="O13" s="45"/>
      <c r="P13" s="45"/>
      <c r="Q13" s="45"/>
      <c r="R13" s="39"/>
      <c r="S13" s="39"/>
      <c r="T13" s="39"/>
    </row>
    <row r="14" spans="1:20" ht="15.75" hidden="1" x14ac:dyDescent="0.25">
      <c r="A14" s="47"/>
      <c r="B14" s="43"/>
      <c r="C14" s="52" t="s">
        <v>191</v>
      </c>
      <c r="D14" s="50"/>
      <c r="E14" s="45" t="s">
        <v>192</v>
      </c>
      <c r="F14" s="45"/>
      <c r="G14" s="45"/>
      <c r="H14" s="45">
        <f t="shared" ref="H14:H18" si="0">+G14-F14</f>
        <v>0</v>
      </c>
      <c r="I14" s="45" t="s">
        <v>190</v>
      </c>
      <c r="J14" s="45"/>
      <c r="K14" s="45"/>
      <c r="L14" s="45">
        <f>+J14-K14</f>
        <v>0</v>
      </c>
      <c r="M14" s="45"/>
      <c r="N14" s="45"/>
      <c r="O14" s="45"/>
      <c r="P14" s="45"/>
      <c r="Q14" s="45"/>
      <c r="R14" s="39"/>
      <c r="S14" s="39"/>
      <c r="T14" s="39"/>
    </row>
    <row r="15" spans="1:20" ht="15.75" hidden="1" x14ac:dyDescent="0.25">
      <c r="A15" s="47"/>
      <c r="B15" s="43"/>
      <c r="C15" s="52" t="s">
        <v>182</v>
      </c>
      <c r="D15" s="50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39"/>
      <c r="S15" s="39"/>
      <c r="T15" s="39"/>
    </row>
    <row r="16" spans="1:20" ht="15.75" hidden="1" x14ac:dyDescent="0.25">
      <c r="A16" s="47"/>
      <c r="B16" s="43"/>
      <c r="C16" s="44" t="s">
        <v>181</v>
      </c>
      <c r="D16" s="50"/>
      <c r="E16" s="45"/>
      <c r="F16" s="45"/>
      <c r="G16" s="45"/>
      <c r="H16" s="45">
        <f t="shared" si="0"/>
        <v>0</v>
      </c>
      <c r="I16" s="45"/>
      <c r="J16" s="45"/>
      <c r="K16" s="45"/>
      <c r="L16" s="45"/>
      <c r="M16" s="45"/>
      <c r="N16" s="45"/>
      <c r="O16" s="45"/>
      <c r="P16" s="45"/>
      <c r="Q16" s="45"/>
      <c r="R16" s="39"/>
      <c r="S16" s="39"/>
      <c r="T16" s="39"/>
    </row>
    <row r="17" spans="1:20" ht="15.75" hidden="1" x14ac:dyDescent="0.25">
      <c r="A17" s="47"/>
      <c r="B17" s="43"/>
      <c r="C17" s="52" t="s">
        <v>180</v>
      </c>
      <c r="D17" s="50"/>
      <c r="E17" s="45" t="s">
        <v>193</v>
      </c>
      <c r="F17" s="45"/>
      <c r="G17" s="45"/>
      <c r="H17" s="45">
        <f t="shared" si="0"/>
        <v>0</v>
      </c>
      <c r="I17" s="45" t="s">
        <v>114</v>
      </c>
      <c r="J17" s="45"/>
      <c r="K17" s="45"/>
      <c r="L17" s="45"/>
      <c r="M17" s="45">
        <f>+K17-J17</f>
        <v>0</v>
      </c>
      <c r="N17" s="45"/>
      <c r="O17" s="45"/>
      <c r="P17" s="45"/>
      <c r="Q17" s="45"/>
      <c r="R17" s="39"/>
      <c r="S17" s="39"/>
      <c r="T17" s="39"/>
    </row>
    <row r="18" spans="1:20" ht="15.75" hidden="1" x14ac:dyDescent="0.25">
      <c r="A18" s="47"/>
      <c r="B18" s="43"/>
      <c r="C18" s="52" t="s">
        <v>179</v>
      </c>
      <c r="D18" s="50"/>
      <c r="E18" s="45" t="s">
        <v>192</v>
      </c>
      <c r="F18" s="45"/>
      <c r="G18" s="45"/>
      <c r="H18" s="45">
        <f t="shared" si="0"/>
        <v>0</v>
      </c>
      <c r="I18" s="45" t="s">
        <v>190</v>
      </c>
      <c r="J18" s="45"/>
      <c r="K18" s="45"/>
      <c r="L18" s="45">
        <f>+J18-K18</f>
        <v>0</v>
      </c>
      <c r="M18" s="45"/>
      <c r="N18" s="45"/>
      <c r="O18" s="45"/>
      <c r="P18" s="45"/>
      <c r="Q18" s="45"/>
      <c r="R18" s="39"/>
      <c r="S18" s="39"/>
      <c r="T18" s="39"/>
    </row>
    <row r="19" spans="1:20" ht="15.75" hidden="1" x14ac:dyDescent="0.25">
      <c r="A19" s="47"/>
      <c r="B19" s="43"/>
      <c r="C19" s="52" t="s">
        <v>182</v>
      </c>
      <c r="D19" s="50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39"/>
      <c r="S19" s="39"/>
      <c r="T19" s="39"/>
    </row>
    <row r="20" spans="1:20" s="37" customFormat="1" ht="15.75" hidden="1" x14ac:dyDescent="0.25">
      <c r="A20" s="42"/>
      <c r="B20" s="48" t="s">
        <v>23</v>
      </c>
      <c r="C20" s="49"/>
      <c r="D20" s="50"/>
      <c r="E20" s="50">
        <f>SUM(E21:E25)</f>
        <v>0</v>
      </c>
      <c r="F20" s="50"/>
      <c r="G20" s="50"/>
      <c r="H20" s="50">
        <f>SUM(H21:H34)</f>
        <v>0</v>
      </c>
      <c r="I20" s="50"/>
      <c r="J20" s="50"/>
      <c r="K20" s="50"/>
      <c r="L20" s="50">
        <v>0</v>
      </c>
      <c r="M20" s="50"/>
      <c r="N20" s="50"/>
      <c r="O20" s="50"/>
      <c r="P20" s="50"/>
      <c r="Q20" s="50"/>
      <c r="R20" s="51"/>
      <c r="S20" s="51"/>
      <c r="T20" s="51"/>
    </row>
    <row r="21" spans="1:20" ht="15.75" hidden="1" x14ac:dyDescent="0.25">
      <c r="A21" s="47"/>
      <c r="B21" s="43"/>
      <c r="C21" s="44" t="s">
        <v>24</v>
      </c>
      <c r="D21" s="50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39"/>
      <c r="S21" s="39"/>
      <c r="T21" s="39"/>
    </row>
    <row r="22" spans="1:20" ht="15.75" hidden="1" x14ac:dyDescent="0.25">
      <c r="A22" s="47"/>
      <c r="B22" s="43"/>
      <c r="C22" s="52" t="s">
        <v>194</v>
      </c>
      <c r="D22" s="50"/>
      <c r="E22" s="45" t="s">
        <v>195</v>
      </c>
      <c r="F22" s="45"/>
      <c r="G22" s="45"/>
      <c r="H22" s="45">
        <f>+F22-G22</f>
        <v>0</v>
      </c>
      <c r="I22" s="45" t="s">
        <v>114</v>
      </c>
      <c r="J22" s="45"/>
      <c r="K22" s="45"/>
      <c r="L22" s="45"/>
      <c r="M22" s="45">
        <f>+K22-J22</f>
        <v>0</v>
      </c>
      <c r="N22" s="45"/>
      <c r="O22" s="45"/>
      <c r="P22" s="45"/>
      <c r="Q22" s="45"/>
      <c r="R22" s="39"/>
      <c r="S22" s="39"/>
      <c r="T22" s="39"/>
    </row>
    <row r="23" spans="1:20" hidden="1" x14ac:dyDescent="0.2">
      <c r="A23" s="47"/>
      <c r="B23" s="43"/>
      <c r="C23" s="52" t="s">
        <v>196</v>
      </c>
      <c r="D23" s="45"/>
      <c r="E23" s="45"/>
      <c r="F23" s="45"/>
      <c r="G23" s="45"/>
      <c r="H23" s="45">
        <f t="shared" ref="H23:H32" si="1">+F23-G23</f>
        <v>0</v>
      </c>
      <c r="I23" s="45" t="s">
        <v>197</v>
      </c>
      <c r="J23" s="45"/>
      <c r="K23" s="45"/>
      <c r="L23" s="45">
        <f>-K23</f>
        <v>0</v>
      </c>
      <c r="M23" s="45">
        <f t="shared" ref="M23" si="2">+K23-J23</f>
        <v>0</v>
      </c>
      <c r="N23" s="45"/>
      <c r="O23" s="45"/>
      <c r="P23" s="45"/>
      <c r="Q23" s="45"/>
      <c r="R23" s="39"/>
      <c r="S23" s="39"/>
      <c r="T23" s="39"/>
    </row>
    <row r="24" spans="1:20" ht="15.75" hidden="1" x14ac:dyDescent="0.25">
      <c r="A24" s="47"/>
      <c r="B24" s="43"/>
      <c r="C24" s="52" t="s">
        <v>182</v>
      </c>
      <c r="D24" s="50"/>
      <c r="E24" s="45"/>
      <c r="F24" s="45"/>
      <c r="G24" s="45"/>
      <c r="H24" s="45">
        <f t="shared" si="1"/>
        <v>0</v>
      </c>
      <c r="I24" s="45"/>
      <c r="J24" s="45"/>
      <c r="K24" s="45"/>
      <c r="L24" s="45"/>
      <c r="M24" s="45"/>
      <c r="N24" s="45"/>
      <c r="O24" s="45"/>
      <c r="P24" s="45"/>
      <c r="Q24" s="45"/>
      <c r="R24" s="39"/>
      <c r="S24" s="39"/>
      <c r="T24" s="39"/>
    </row>
    <row r="25" spans="1:20" ht="15.75" hidden="1" x14ac:dyDescent="0.25">
      <c r="A25" s="47"/>
      <c r="B25" s="43"/>
      <c r="C25" s="44" t="s">
        <v>71</v>
      </c>
      <c r="D25" s="50"/>
      <c r="E25" s="45"/>
      <c r="F25" s="45"/>
      <c r="G25" s="45"/>
      <c r="H25" s="45">
        <f t="shared" si="1"/>
        <v>0</v>
      </c>
      <c r="I25" s="45"/>
      <c r="J25" s="45"/>
      <c r="K25" s="45"/>
      <c r="L25" s="45"/>
      <c r="M25" s="45"/>
      <c r="N25" s="45"/>
      <c r="O25" s="45"/>
      <c r="P25" s="45"/>
      <c r="Q25" s="45"/>
      <c r="R25" s="39"/>
      <c r="S25" s="39"/>
      <c r="T25" s="39"/>
    </row>
    <row r="26" spans="1:20" ht="15.75" hidden="1" x14ac:dyDescent="0.25">
      <c r="A26" s="47"/>
      <c r="B26" s="43"/>
      <c r="C26" s="52" t="s">
        <v>169</v>
      </c>
      <c r="D26" s="50"/>
      <c r="E26" s="45" t="s">
        <v>198</v>
      </c>
      <c r="F26" s="45"/>
      <c r="G26" s="45"/>
      <c r="H26" s="45">
        <f t="shared" si="1"/>
        <v>0</v>
      </c>
      <c r="I26" s="45" t="s">
        <v>199</v>
      </c>
      <c r="J26" s="45"/>
      <c r="K26" s="45"/>
      <c r="L26" s="45">
        <f>+J26-K26</f>
        <v>0</v>
      </c>
      <c r="M26" s="45"/>
      <c r="N26" s="45"/>
      <c r="O26" s="45"/>
      <c r="P26" s="45"/>
      <c r="Q26" s="45"/>
      <c r="R26" s="39"/>
      <c r="S26" s="39"/>
      <c r="T26" s="39"/>
    </row>
    <row r="27" spans="1:20" s="37" customFormat="1" ht="15.75" hidden="1" x14ac:dyDescent="0.25">
      <c r="A27" s="42"/>
      <c r="B27" s="48"/>
      <c r="C27" s="52" t="s">
        <v>182</v>
      </c>
      <c r="D27" s="50"/>
      <c r="E27" s="50"/>
      <c r="F27" s="50"/>
      <c r="G27" s="50"/>
      <c r="H27" s="45">
        <f t="shared" si="1"/>
        <v>0</v>
      </c>
      <c r="I27" s="50"/>
      <c r="J27" s="50"/>
      <c r="K27" s="50"/>
      <c r="L27" s="50"/>
      <c r="M27" s="50"/>
      <c r="N27" s="50"/>
      <c r="O27" s="50"/>
      <c r="P27" s="50"/>
      <c r="Q27" s="50"/>
      <c r="R27" s="51"/>
      <c r="S27" s="51"/>
      <c r="T27" s="51"/>
    </row>
    <row r="28" spans="1:20" s="37" customFormat="1" ht="15.75" hidden="1" x14ac:dyDescent="0.25">
      <c r="A28" s="42"/>
      <c r="B28" s="48"/>
      <c r="C28" s="43" t="s">
        <v>87</v>
      </c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1"/>
      <c r="S28" s="51"/>
      <c r="T28" s="51"/>
    </row>
    <row r="29" spans="1:20" ht="15.75" hidden="1" x14ac:dyDescent="0.25">
      <c r="A29" s="47"/>
      <c r="B29" s="48"/>
      <c r="C29" s="52" t="s">
        <v>167</v>
      </c>
      <c r="D29" s="54"/>
      <c r="E29" s="55" t="s">
        <v>200</v>
      </c>
      <c r="F29" s="45"/>
      <c r="G29" s="45"/>
      <c r="H29" s="45">
        <f t="shared" si="1"/>
        <v>0</v>
      </c>
      <c r="I29" s="45" t="s">
        <v>91</v>
      </c>
      <c r="J29" s="45"/>
      <c r="K29" s="45"/>
      <c r="L29" s="45">
        <f>+J29-K29</f>
        <v>0</v>
      </c>
      <c r="M29" s="45"/>
      <c r="N29" s="45"/>
      <c r="O29" s="45"/>
      <c r="P29" s="45"/>
      <c r="Q29" s="45"/>
      <c r="R29" s="39"/>
      <c r="S29" s="39"/>
      <c r="T29" s="39"/>
    </row>
    <row r="30" spans="1:20" ht="15.75" hidden="1" x14ac:dyDescent="0.25">
      <c r="A30" s="47"/>
      <c r="B30" s="48"/>
      <c r="C30" s="52" t="s">
        <v>201</v>
      </c>
      <c r="D30" s="56"/>
      <c r="E30" s="55" t="s">
        <v>200</v>
      </c>
      <c r="F30" s="45">
        <f>D30</f>
        <v>0</v>
      </c>
      <c r="G30" s="45"/>
      <c r="H30" s="45">
        <f t="shared" si="1"/>
        <v>0</v>
      </c>
      <c r="I30" s="45" t="s">
        <v>89</v>
      </c>
      <c r="J30" s="45"/>
      <c r="K30" s="45">
        <f>F30</f>
        <v>0</v>
      </c>
      <c r="L30" s="45">
        <v>0</v>
      </c>
      <c r="M30" s="45"/>
      <c r="N30" s="45"/>
      <c r="O30" s="45"/>
      <c r="P30" s="45"/>
      <c r="Q30" s="45"/>
      <c r="R30" s="39"/>
      <c r="S30" s="39"/>
      <c r="T30" s="39"/>
    </row>
    <row r="31" spans="1:20" ht="15.75" hidden="1" x14ac:dyDescent="0.25">
      <c r="A31" s="47"/>
      <c r="B31" s="48"/>
      <c r="C31" s="52" t="s">
        <v>138</v>
      </c>
      <c r="D31" s="54"/>
      <c r="E31" s="5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 t="s">
        <v>127</v>
      </c>
      <c r="Q31" s="45"/>
      <c r="R31" s="39"/>
      <c r="S31" s="39"/>
      <c r="T31" s="39"/>
    </row>
    <row r="32" spans="1:20" ht="15.75" hidden="1" x14ac:dyDescent="0.25">
      <c r="A32" s="47"/>
      <c r="B32" s="48"/>
      <c r="C32" s="52" t="s">
        <v>182</v>
      </c>
      <c r="D32" s="45"/>
      <c r="E32" s="45"/>
      <c r="F32" s="45"/>
      <c r="G32" s="45"/>
      <c r="H32" s="45">
        <f t="shared" si="1"/>
        <v>0</v>
      </c>
      <c r="I32" s="45"/>
      <c r="J32" s="45"/>
      <c r="K32" s="45"/>
      <c r="L32" s="45"/>
      <c r="M32" s="45"/>
      <c r="N32" s="45"/>
      <c r="O32" s="45"/>
      <c r="P32" s="45"/>
      <c r="Q32" s="45"/>
      <c r="R32" s="39"/>
      <c r="S32" s="39"/>
      <c r="T32" s="39"/>
    </row>
    <row r="33" spans="1:20" ht="15.75" x14ac:dyDescent="0.25">
      <c r="A33" s="47"/>
      <c r="B33" s="48" t="s">
        <v>177</v>
      </c>
      <c r="C33" s="52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39"/>
      <c r="S33" s="39"/>
      <c r="T33" s="39"/>
    </row>
    <row r="34" spans="1:20" ht="15.75" x14ac:dyDescent="0.25">
      <c r="A34" s="47"/>
      <c r="B34" s="48"/>
      <c r="C34" s="52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208">
        <f>D34</f>
        <v>0</v>
      </c>
      <c r="Q34" s="45"/>
      <c r="R34" s="39"/>
      <c r="S34" s="39"/>
      <c r="T34" s="39"/>
    </row>
    <row r="35" spans="1:20" s="37" customFormat="1" ht="15.75" x14ac:dyDescent="0.25">
      <c r="A35" s="42" t="str">
        <f>'FC1 SEPTEMBER'!A105</f>
        <v>Balance as of June 30, 2023</v>
      </c>
      <c r="B35" s="48"/>
      <c r="C35" s="49"/>
      <c r="D35" s="50">
        <f>SUM(D9:D34)</f>
        <v>0</v>
      </c>
      <c r="E35" s="50">
        <f>E9+E28+E20+E11</f>
        <v>0</v>
      </c>
      <c r="F35" s="50"/>
      <c r="G35" s="50"/>
      <c r="H35" s="50">
        <f>+H11+H20</f>
        <v>0</v>
      </c>
      <c r="I35" s="50">
        <f>SUM(I12:I32)</f>
        <v>0</v>
      </c>
      <c r="J35" s="50"/>
      <c r="K35" s="50"/>
      <c r="L35" s="50">
        <f>+L11+L20</f>
        <v>0</v>
      </c>
      <c r="M35" s="50">
        <f>SUM(M11:M32)</f>
        <v>0</v>
      </c>
      <c r="N35" s="50"/>
      <c r="O35" s="50">
        <f>SUM(O11:O32)</f>
        <v>0</v>
      </c>
      <c r="P35" s="50"/>
      <c r="Q35" s="50">
        <f>SUM(Q11:Q32)</f>
        <v>0</v>
      </c>
      <c r="R35" s="51"/>
      <c r="S35" s="51"/>
      <c r="T35" s="51"/>
    </row>
    <row r="36" spans="1:20" x14ac:dyDescent="0.2">
      <c r="A36" s="57" t="s">
        <v>163</v>
      </c>
      <c r="D36" s="39">
        <f>D35-[26]FC1SGE!$J$15</f>
        <v>0</v>
      </c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</row>
    <row r="37" spans="1:20" ht="15.75" x14ac:dyDescent="0.25">
      <c r="A37" s="57"/>
      <c r="C37" s="37" t="s">
        <v>117</v>
      </c>
      <c r="E37" s="37" t="s">
        <v>118</v>
      </c>
      <c r="I37" s="37" t="s">
        <v>119</v>
      </c>
      <c r="J37" s="39"/>
      <c r="K37" s="39"/>
      <c r="L37" s="39"/>
      <c r="M37" s="37"/>
      <c r="N37" s="37"/>
      <c r="O37" s="37"/>
      <c r="P37" s="58" t="s">
        <v>160</v>
      </c>
      <c r="Q37" s="39"/>
      <c r="R37" s="39"/>
      <c r="S37" s="39"/>
      <c r="T37" s="39"/>
    </row>
    <row r="38" spans="1:20" x14ac:dyDescent="0.2">
      <c r="C38" s="59" t="s">
        <v>121</v>
      </c>
      <c r="D38" s="39">
        <f>D35</f>
        <v>0</v>
      </c>
      <c r="I38" s="39"/>
      <c r="J38" s="60" t="s">
        <v>122</v>
      </c>
      <c r="K38" s="61"/>
      <c r="L38" s="39">
        <f>L35</f>
        <v>0</v>
      </c>
      <c r="M38" s="39"/>
      <c r="N38" s="39"/>
      <c r="O38" s="39"/>
      <c r="P38" s="39"/>
      <c r="Q38" s="39"/>
      <c r="R38" s="39"/>
      <c r="S38" s="39"/>
      <c r="T38" s="39"/>
    </row>
    <row r="39" spans="1:20" x14ac:dyDescent="0.2">
      <c r="C39" s="59" t="s">
        <v>123</v>
      </c>
      <c r="D39" s="39">
        <f>D9</f>
        <v>0</v>
      </c>
      <c r="I39" s="39"/>
      <c r="J39" s="60" t="s">
        <v>124</v>
      </c>
      <c r="K39" s="61"/>
      <c r="L39" s="39">
        <f>M35</f>
        <v>0</v>
      </c>
      <c r="M39" s="39"/>
      <c r="N39" s="39"/>
      <c r="O39" s="39"/>
      <c r="P39" s="39"/>
      <c r="Q39" s="39"/>
      <c r="R39" s="39"/>
      <c r="S39" s="39"/>
      <c r="T39" s="39"/>
    </row>
    <row r="40" spans="1:20" ht="15.75" x14ac:dyDescent="0.25">
      <c r="C40" s="62" t="s">
        <v>125</v>
      </c>
      <c r="D40" s="51">
        <f>+D38-D39</f>
        <v>0</v>
      </c>
      <c r="E40" s="63" t="s">
        <v>126</v>
      </c>
      <c r="H40" s="64">
        <f>+H35</f>
        <v>0</v>
      </c>
      <c r="I40" s="39"/>
      <c r="J40" s="60" t="s">
        <v>127</v>
      </c>
      <c r="K40" s="65"/>
      <c r="L40" s="51">
        <f>P34</f>
        <v>0</v>
      </c>
      <c r="M40" s="39"/>
      <c r="N40" s="39"/>
      <c r="O40" s="39">
        <f>L38-L39</f>
        <v>0</v>
      </c>
      <c r="P40" s="51" t="s">
        <v>127</v>
      </c>
      <c r="Q40" s="51"/>
      <c r="R40" s="39"/>
      <c r="S40" s="39"/>
      <c r="T40" s="39"/>
    </row>
    <row r="41" spans="1:20" ht="15.75" x14ac:dyDescent="0.25">
      <c r="I41" s="39"/>
      <c r="J41" s="66" t="s">
        <v>128</v>
      </c>
      <c r="K41" s="51"/>
      <c r="L41" s="51">
        <f>+L38-L39+L40</f>
        <v>0</v>
      </c>
      <c r="M41" s="51"/>
      <c r="N41" s="51"/>
      <c r="O41" s="51">
        <f>+L38-L39-O40</f>
        <v>0</v>
      </c>
      <c r="P41" s="39"/>
      <c r="Q41" s="39"/>
      <c r="R41" s="39"/>
      <c r="S41" s="39"/>
      <c r="T41" s="39"/>
    </row>
    <row r="42" spans="1:20" s="67" customFormat="1" x14ac:dyDescent="0.2">
      <c r="D42" s="68"/>
      <c r="I42" s="68"/>
      <c r="J42" s="68"/>
      <c r="K42" s="68"/>
      <c r="L42" s="68">
        <f>D40-L41</f>
        <v>0</v>
      </c>
      <c r="M42" s="68"/>
      <c r="N42" s="68"/>
      <c r="O42" s="68"/>
      <c r="P42" s="68"/>
      <c r="Q42" s="68"/>
      <c r="R42" s="68"/>
      <c r="S42" s="68"/>
      <c r="T42" s="68"/>
    </row>
    <row r="43" spans="1:20" s="67" customFormat="1" x14ac:dyDescent="0.2">
      <c r="D43" s="68"/>
      <c r="E43" s="69">
        <f>D35</f>
        <v>0</v>
      </c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</row>
    <row r="44" spans="1:20" s="67" customFormat="1" ht="15.75" x14ac:dyDescent="0.25">
      <c r="D44" s="68"/>
      <c r="E44" s="70">
        <f>[27]FC1SGE!$J$19</f>
        <v>1060847.8499999975</v>
      </c>
      <c r="I44" s="350"/>
      <c r="J44" s="350"/>
      <c r="K44" s="350"/>
      <c r="L44" s="350"/>
      <c r="M44" s="350"/>
      <c r="N44" s="350"/>
      <c r="O44" s="350"/>
      <c r="P44" s="350"/>
      <c r="Q44" s="350"/>
      <c r="R44" s="68"/>
      <c r="S44" s="68"/>
      <c r="T44" s="68"/>
    </row>
    <row r="45" spans="1:20" s="67" customFormat="1" hidden="1" x14ac:dyDescent="0.2">
      <c r="C45" s="71"/>
      <c r="D45" s="68"/>
      <c r="E45" s="72"/>
      <c r="I45" s="73"/>
      <c r="J45" s="73"/>
      <c r="K45" s="73"/>
      <c r="L45" s="73"/>
      <c r="M45" s="73"/>
      <c r="N45" s="73"/>
      <c r="O45" s="73"/>
      <c r="P45" s="73"/>
      <c r="Q45" s="73"/>
      <c r="R45" s="68"/>
      <c r="S45" s="68"/>
      <c r="T45" s="68"/>
    </row>
    <row r="46" spans="1:20" s="67" customFormat="1" x14ac:dyDescent="0.2">
      <c r="C46" s="71"/>
      <c r="D46" s="68"/>
      <c r="E46" s="69">
        <f>E43-E44</f>
        <v>-1060847.8499999975</v>
      </c>
      <c r="I46" s="73"/>
      <c r="J46" s="73"/>
      <c r="K46" s="73"/>
      <c r="L46" s="73"/>
      <c r="M46" s="73"/>
      <c r="N46" s="73"/>
      <c r="O46" s="73"/>
      <c r="P46" s="73"/>
      <c r="Q46" s="73"/>
      <c r="R46" s="68"/>
      <c r="S46" s="68"/>
      <c r="T46" s="68"/>
    </row>
    <row r="47" spans="1:20" s="74" customFormat="1" ht="16.5" x14ac:dyDescent="0.3">
      <c r="D47" s="75" t="s">
        <v>131</v>
      </c>
      <c r="E47" s="76"/>
      <c r="J47" s="77"/>
      <c r="K47" s="3" t="s">
        <v>132</v>
      </c>
      <c r="L47" s="77"/>
      <c r="M47" s="77"/>
      <c r="N47" s="77"/>
      <c r="O47" s="77"/>
      <c r="P47" s="76" t="s">
        <v>202</v>
      </c>
      <c r="Q47" s="76">
        <f>22029704.73-16100096.25</f>
        <v>5929608.4800000004</v>
      </c>
      <c r="R47" s="76">
        <v>-16100096.25</v>
      </c>
      <c r="S47" s="76">
        <v>0</v>
      </c>
      <c r="T47" s="76">
        <v>22029704.73</v>
      </c>
    </row>
    <row r="48" spans="1:20" s="74" customFormat="1" ht="16.5" x14ac:dyDescent="0.3">
      <c r="E48" s="77"/>
      <c r="J48" s="77"/>
      <c r="K48" s="77"/>
      <c r="L48" s="77"/>
      <c r="M48" s="77"/>
      <c r="N48" s="77"/>
      <c r="O48" s="77"/>
      <c r="P48" s="76" t="s">
        <v>203</v>
      </c>
      <c r="Q48" s="78">
        <f>SUM(Q46:Q47)</f>
        <v>5929608.4800000004</v>
      </c>
      <c r="R48" s="76">
        <f>Q46+R47</f>
        <v>-16100096.25</v>
      </c>
      <c r="S48" s="76">
        <f>R48+S47</f>
        <v>-16100096.25</v>
      </c>
      <c r="T48" s="79">
        <f>S48+T47</f>
        <v>5929608.4800000004</v>
      </c>
    </row>
    <row r="49" spans="4:20" s="74" customFormat="1" ht="16.5" x14ac:dyDescent="0.3">
      <c r="E49" s="77"/>
      <c r="J49" s="77"/>
      <c r="K49" s="77"/>
      <c r="L49" s="77"/>
      <c r="M49" s="77"/>
      <c r="N49" s="77"/>
      <c r="O49" s="77"/>
      <c r="P49" s="76"/>
      <c r="Q49" s="76"/>
      <c r="R49" s="76"/>
      <c r="S49" s="76"/>
      <c r="T49" s="80"/>
    </row>
    <row r="50" spans="4:20" s="74" customFormat="1" ht="16.5" x14ac:dyDescent="0.3">
      <c r="D50" s="351" t="s">
        <v>256</v>
      </c>
      <c r="E50" s="351"/>
      <c r="F50" s="351"/>
      <c r="J50" s="81"/>
      <c r="K50" s="351" t="s">
        <v>133</v>
      </c>
      <c r="L50" s="351"/>
      <c r="M50" s="351"/>
      <c r="N50" s="81"/>
      <c r="O50" s="81"/>
      <c r="P50" s="82"/>
      <c r="Q50" s="76"/>
      <c r="R50" s="76"/>
      <c r="S50" s="76"/>
      <c r="T50" s="80"/>
    </row>
    <row r="51" spans="4:20" s="74" customFormat="1" ht="16.5" x14ac:dyDescent="0.3">
      <c r="D51" s="352" t="s">
        <v>134</v>
      </c>
      <c r="E51" s="352"/>
      <c r="F51" s="352"/>
      <c r="J51" s="83"/>
      <c r="K51" s="352" t="s">
        <v>135</v>
      </c>
      <c r="L51" s="352"/>
      <c r="M51" s="352"/>
      <c r="N51" s="83"/>
      <c r="O51" s="83"/>
      <c r="P51" s="83"/>
      <c r="Q51" s="77"/>
      <c r="R51" s="77"/>
      <c r="S51" s="77"/>
    </row>
  </sheetData>
  <mergeCells count="12">
    <mergeCell ref="A6:C8"/>
    <mergeCell ref="D6:D8"/>
    <mergeCell ref="E6:M6"/>
    <mergeCell ref="N6:O8"/>
    <mergeCell ref="P6:Q8"/>
    <mergeCell ref="E7:H7"/>
    <mergeCell ref="I7:M7"/>
    <mergeCell ref="I44:Q44"/>
    <mergeCell ref="D50:F50"/>
    <mergeCell ref="K50:M50"/>
    <mergeCell ref="D51:F51"/>
    <mergeCell ref="K51:M51"/>
  </mergeCells>
  <printOptions horizontalCentered="1"/>
  <pageMargins left="0" right="0" top="0.75" bottom="0.75" header="0.3" footer="0.3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1"/>
  <sheetViews>
    <sheetView view="pageBreakPreview" zoomScale="85" zoomScaleNormal="85" zoomScaleSheetLayoutView="85" workbookViewId="0">
      <selection activeCell="E59" sqref="E59"/>
    </sheetView>
  </sheetViews>
  <sheetFormatPr defaultColWidth="9.140625" defaultRowHeight="15" x14ac:dyDescent="0.2"/>
  <cols>
    <col min="1" max="1" width="2.28515625" style="38" customWidth="1"/>
    <col min="2" max="2" width="4.42578125" style="38" customWidth="1"/>
    <col min="3" max="3" width="70.5703125" style="38" bestFit="1" customWidth="1"/>
    <col min="4" max="4" width="24.85546875" style="39" customWidth="1"/>
    <col min="5" max="5" width="33" style="38" bestFit="1" customWidth="1"/>
    <col min="6" max="6" width="18.28515625" style="38" bestFit="1" customWidth="1"/>
    <col min="7" max="7" width="14.28515625" style="38" bestFit="1" customWidth="1"/>
    <col min="8" max="8" width="19.5703125" style="38" customWidth="1"/>
    <col min="9" max="9" width="22.28515625" style="38" customWidth="1"/>
    <col min="10" max="10" width="18.140625" style="38" bestFit="1" customWidth="1"/>
    <col min="11" max="11" width="18.28515625" style="38" bestFit="1" customWidth="1"/>
    <col min="12" max="12" width="20.42578125" style="38" customWidth="1"/>
    <col min="13" max="13" width="12.42578125" style="38" customWidth="1"/>
    <col min="14" max="14" width="15.42578125" style="38" hidden="1" customWidth="1"/>
    <col min="15" max="15" width="24.28515625" style="38" hidden="1" customWidth="1"/>
    <col min="16" max="16" width="15.28515625" style="38" customWidth="1"/>
    <col min="17" max="17" width="14" style="38" customWidth="1"/>
    <col min="18" max="16384" width="9.140625" style="38"/>
  </cols>
  <sheetData>
    <row r="1" spans="1:20" ht="15.75" x14ac:dyDescent="0.25">
      <c r="A1" s="37" t="s">
        <v>0</v>
      </c>
    </row>
    <row r="2" spans="1:20" ht="15.75" x14ac:dyDescent="0.25">
      <c r="A2" s="37" t="s">
        <v>1</v>
      </c>
      <c r="B2" s="37"/>
    </row>
    <row r="3" spans="1:20" ht="15.75" x14ac:dyDescent="0.25">
      <c r="A3" s="37" t="str">
        <f>'FC1 SEPTEMBER'!A3</f>
        <v>As of September 30, 2023</v>
      </c>
      <c r="B3" s="37"/>
    </row>
    <row r="4" spans="1:20" ht="15.75" x14ac:dyDescent="0.25">
      <c r="A4" s="37" t="s">
        <v>188</v>
      </c>
      <c r="B4" s="37"/>
    </row>
    <row r="5" spans="1:20" ht="15.75" x14ac:dyDescent="0.25">
      <c r="A5" s="37"/>
      <c r="B5" s="37"/>
    </row>
    <row r="6" spans="1:20" ht="15.75" customHeight="1" x14ac:dyDescent="0.25">
      <c r="A6" s="353" t="s">
        <v>3</v>
      </c>
      <c r="B6" s="353"/>
      <c r="C6" s="353"/>
      <c r="D6" s="354" t="s">
        <v>4</v>
      </c>
      <c r="E6" s="355" t="s">
        <v>5</v>
      </c>
      <c r="F6" s="355"/>
      <c r="G6" s="355"/>
      <c r="H6" s="355"/>
      <c r="I6" s="355"/>
      <c r="J6" s="355"/>
      <c r="K6" s="355"/>
      <c r="L6" s="355"/>
      <c r="M6" s="355"/>
      <c r="N6" s="356" t="s">
        <v>184</v>
      </c>
      <c r="O6" s="357"/>
      <c r="P6" s="356" t="s">
        <v>242</v>
      </c>
      <c r="Q6" s="357"/>
    </row>
    <row r="7" spans="1:20" ht="15.75" x14ac:dyDescent="0.25">
      <c r="A7" s="353"/>
      <c r="B7" s="353"/>
      <c r="C7" s="353"/>
      <c r="D7" s="354"/>
      <c r="E7" s="362" t="s">
        <v>7</v>
      </c>
      <c r="F7" s="363"/>
      <c r="G7" s="363"/>
      <c r="H7" s="364"/>
      <c r="I7" s="355" t="s">
        <v>8</v>
      </c>
      <c r="J7" s="355"/>
      <c r="K7" s="355"/>
      <c r="L7" s="355"/>
      <c r="M7" s="355"/>
      <c r="N7" s="358"/>
      <c r="O7" s="359"/>
      <c r="P7" s="358"/>
      <c r="Q7" s="359"/>
    </row>
    <row r="8" spans="1:20" s="41" customFormat="1" ht="45" x14ac:dyDescent="0.25">
      <c r="A8" s="353"/>
      <c r="B8" s="353"/>
      <c r="C8" s="353"/>
      <c r="D8" s="354"/>
      <c r="E8" s="40" t="s">
        <v>9</v>
      </c>
      <c r="F8" s="40" t="s">
        <v>10</v>
      </c>
      <c r="G8" s="40" t="s">
        <v>11</v>
      </c>
      <c r="H8" s="40" t="s">
        <v>12</v>
      </c>
      <c r="I8" s="40" t="s">
        <v>9</v>
      </c>
      <c r="J8" s="40" t="s">
        <v>10</v>
      </c>
      <c r="K8" s="40" t="s">
        <v>11</v>
      </c>
      <c r="L8" s="40" t="s">
        <v>13</v>
      </c>
      <c r="M8" s="40" t="s">
        <v>14</v>
      </c>
      <c r="N8" s="360"/>
      <c r="O8" s="361"/>
      <c r="P8" s="360"/>
      <c r="Q8" s="361"/>
    </row>
    <row r="9" spans="1:20" ht="15.75" x14ac:dyDescent="0.25">
      <c r="A9" s="42" t="str">
        <f>'FC1 SEPTEMBER'!A9:C9</f>
        <v>Accumulated Surplus/(Deficit), Beginning Balance 1/1/2023</v>
      </c>
      <c r="B9" s="43"/>
      <c r="C9" s="44"/>
      <c r="D9" s="45">
        <v>605907.75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</row>
    <row r="10" spans="1:20" hidden="1" x14ac:dyDescent="0.2">
      <c r="A10" s="47"/>
      <c r="B10" s="43"/>
      <c r="C10" s="44"/>
      <c r="D10" s="45"/>
      <c r="E10" s="46"/>
      <c r="F10" s="46"/>
      <c r="G10" s="46"/>
      <c r="H10" s="46"/>
      <c r="I10" s="45"/>
      <c r="J10" s="45"/>
      <c r="K10" s="45"/>
      <c r="L10" s="45"/>
      <c r="M10" s="45"/>
      <c r="N10" s="45"/>
      <c r="O10" s="45"/>
      <c r="P10" s="45"/>
      <c r="Q10" s="45"/>
      <c r="R10" s="39"/>
      <c r="S10" s="39"/>
      <c r="T10" s="39"/>
    </row>
    <row r="11" spans="1:20" s="37" customFormat="1" ht="15.75" hidden="1" x14ac:dyDescent="0.25">
      <c r="A11" s="42"/>
      <c r="B11" s="48" t="s">
        <v>16</v>
      </c>
      <c r="C11" s="49"/>
      <c r="D11" s="50"/>
      <c r="E11" s="50"/>
      <c r="F11" s="50"/>
      <c r="G11" s="50"/>
      <c r="H11" s="50">
        <f>SUM(H12:H19)</f>
        <v>0</v>
      </c>
      <c r="I11" s="50"/>
      <c r="J11" s="50"/>
      <c r="K11" s="50"/>
      <c r="L11" s="50"/>
      <c r="M11" s="50"/>
      <c r="N11" s="50"/>
      <c r="O11" s="50"/>
      <c r="P11" s="50"/>
      <c r="Q11" s="50"/>
      <c r="R11" s="51"/>
      <c r="S11" s="51"/>
      <c r="T11" s="51"/>
    </row>
    <row r="12" spans="1:20" hidden="1" x14ac:dyDescent="0.2">
      <c r="A12" s="47"/>
      <c r="B12" s="43"/>
      <c r="C12" s="44" t="s">
        <v>17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39"/>
      <c r="S12" s="39"/>
      <c r="T12" s="39"/>
    </row>
    <row r="13" spans="1:20" ht="15.75" hidden="1" x14ac:dyDescent="0.25">
      <c r="A13" s="47"/>
      <c r="B13" s="43"/>
      <c r="C13" s="52" t="s">
        <v>152</v>
      </c>
      <c r="D13" s="50"/>
      <c r="E13" s="45" t="s">
        <v>189</v>
      </c>
      <c r="F13" s="45"/>
      <c r="G13" s="45"/>
      <c r="H13" s="45">
        <f>+G13-F13</f>
        <v>0</v>
      </c>
      <c r="I13" s="45" t="s">
        <v>190</v>
      </c>
      <c r="J13" s="45"/>
      <c r="K13" s="45"/>
      <c r="L13" s="45">
        <f>+J13-K13</f>
        <v>0</v>
      </c>
      <c r="M13" s="45"/>
      <c r="N13" s="53"/>
      <c r="O13" s="45"/>
      <c r="P13" s="45"/>
      <c r="Q13" s="45"/>
      <c r="R13" s="39"/>
      <c r="S13" s="39"/>
      <c r="T13" s="39"/>
    </row>
    <row r="14" spans="1:20" ht="15.75" hidden="1" x14ac:dyDescent="0.25">
      <c r="A14" s="47"/>
      <c r="B14" s="43"/>
      <c r="C14" s="52" t="s">
        <v>191</v>
      </c>
      <c r="D14" s="50"/>
      <c r="E14" s="45" t="s">
        <v>192</v>
      </c>
      <c r="F14" s="45"/>
      <c r="G14" s="45"/>
      <c r="H14" s="45">
        <f t="shared" ref="H14:H18" si="0">+G14-F14</f>
        <v>0</v>
      </c>
      <c r="I14" s="45" t="s">
        <v>190</v>
      </c>
      <c r="J14" s="45"/>
      <c r="K14" s="45"/>
      <c r="L14" s="45">
        <f>+J14-K14</f>
        <v>0</v>
      </c>
      <c r="M14" s="45"/>
      <c r="N14" s="45"/>
      <c r="O14" s="45"/>
      <c r="P14" s="45"/>
      <c r="Q14" s="45"/>
      <c r="R14" s="39"/>
      <c r="S14" s="39"/>
      <c r="T14" s="39"/>
    </row>
    <row r="15" spans="1:20" ht="15.75" hidden="1" x14ac:dyDescent="0.25">
      <c r="A15" s="47"/>
      <c r="B15" s="43"/>
      <c r="C15" s="52" t="s">
        <v>182</v>
      </c>
      <c r="D15" s="50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39"/>
      <c r="S15" s="39"/>
      <c r="T15" s="39"/>
    </row>
    <row r="16" spans="1:20" ht="15.75" hidden="1" x14ac:dyDescent="0.25">
      <c r="A16" s="47"/>
      <c r="B16" s="43"/>
      <c r="C16" s="44" t="s">
        <v>181</v>
      </c>
      <c r="D16" s="50"/>
      <c r="E16" s="45"/>
      <c r="F16" s="45"/>
      <c r="G16" s="45"/>
      <c r="H16" s="45">
        <f t="shared" si="0"/>
        <v>0</v>
      </c>
      <c r="I16" s="45"/>
      <c r="J16" s="45"/>
      <c r="K16" s="45"/>
      <c r="L16" s="45"/>
      <c r="M16" s="45"/>
      <c r="N16" s="45"/>
      <c r="O16" s="45"/>
      <c r="P16" s="45"/>
      <c r="Q16" s="45"/>
      <c r="R16" s="39"/>
      <c r="S16" s="39"/>
      <c r="T16" s="39"/>
    </row>
    <row r="17" spans="1:20" ht="15.75" hidden="1" x14ac:dyDescent="0.25">
      <c r="A17" s="47"/>
      <c r="B17" s="43"/>
      <c r="C17" s="52" t="s">
        <v>180</v>
      </c>
      <c r="D17" s="50"/>
      <c r="E17" s="45" t="s">
        <v>193</v>
      </c>
      <c r="F17" s="45"/>
      <c r="G17" s="45"/>
      <c r="H17" s="45">
        <f t="shared" si="0"/>
        <v>0</v>
      </c>
      <c r="I17" s="45" t="s">
        <v>114</v>
      </c>
      <c r="J17" s="45"/>
      <c r="K17" s="45"/>
      <c r="L17" s="45"/>
      <c r="M17" s="45">
        <f>+K17-J17</f>
        <v>0</v>
      </c>
      <c r="N17" s="45"/>
      <c r="O17" s="45"/>
      <c r="P17" s="45"/>
      <c r="Q17" s="45"/>
      <c r="R17" s="39"/>
      <c r="S17" s="39"/>
      <c r="T17" s="39"/>
    </row>
    <row r="18" spans="1:20" ht="15.75" hidden="1" x14ac:dyDescent="0.25">
      <c r="A18" s="47"/>
      <c r="B18" s="43"/>
      <c r="C18" s="52" t="s">
        <v>179</v>
      </c>
      <c r="D18" s="50"/>
      <c r="E18" s="45" t="s">
        <v>192</v>
      </c>
      <c r="F18" s="45"/>
      <c r="G18" s="45"/>
      <c r="H18" s="45">
        <f t="shared" si="0"/>
        <v>0</v>
      </c>
      <c r="I18" s="45" t="s">
        <v>190</v>
      </c>
      <c r="J18" s="45"/>
      <c r="K18" s="45"/>
      <c r="L18" s="45">
        <f>+J18-K18</f>
        <v>0</v>
      </c>
      <c r="M18" s="45"/>
      <c r="N18" s="45"/>
      <c r="O18" s="45"/>
      <c r="P18" s="45"/>
      <c r="Q18" s="45"/>
      <c r="R18" s="39"/>
      <c r="S18" s="39"/>
      <c r="T18" s="39"/>
    </row>
    <row r="19" spans="1:20" ht="15.75" hidden="1" x14ac:dyDescent="0.25">
      <c r="A19" s="47"/>
      <c r="B19" s="43"/>
      <c r="C19" s="52" t="s">
        <v>182</v>
      </c>
      <c r="D19" s="50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39"/>
      <c r="S19" s="39"/>
      <c r="T19" s="39"/>
    </row>
    <row r="20" spans="1:20" s="37" customFormat="1" ht="15.75" hidden="1" x14ac:dyDescent="0.25">
      <c r="A20" s="42"/>
      <c r="B20" s="48" t="s">
        <v>23</v>
      </c>
      <c r="C20" s="49"/>
      <c r="D20" s="50"/>
      <c r="E20" s="50">
        <f>SUM(E21:E25)</f>
        <v>0</v>
      </c>
      <c r="F20" s="50"/>
      <c r="G20" s="50"/>
      <c r="H20" s="50">
        <f>SUM(H21:H34)</f>
        <v>0</v>
      </c>
      <c r="I20" s="50"/>
      <c r="J20" s="50"/>
      <c r="K20" s="50"/>
      <c r="L20" s="50">
        <v>0</v>
      </c>
      <c r="M20" s="50"/>
      <c r="N20" s="50"/>
      <c r="O20" s="50"/>
      <c r="P20" s="50"/>
      <c r="Q20" s="50"/>
      <c r="R20" s="51"/>
      <c r="S20" s="51"/>
      <c r="T20" s="51"/>
    </row>
    <row r="21" spans="1:20" ht="15.75" hidden="1" x14ac:dyDescent="0.25">
      <c r="A21" s="47"/>
      <c r="B21" s="43"/>
      <c r="C21" s="44" t="s">
        <v>24</v>
      </c>
      <c r="D21" s="50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39"/>
      <c r="S21" s="39"/>
      <c r="T21" s="39"/>
    </row>
    <row r="22" spans="1:20" ht="15.75" hidden="1" x14ac:dyDescent="0.25">
      <c r="A22" s="47"/>
      <c r="B22" s="43"/>
      <c r="C22" s="52" t="s">
        <v>194</v>
      </c>
      <c r="D22" s="50"/>
      <c r="E22" s="45" t="s">
        <v>195</v>
      </c>
      <c r="F22" s="45"/>
      <c r="G22" s="45"/>
      <c r="H22" s="45">
        <f>+F22-G22</f>
        <v>0</v>
      </c>
      <c r="I22" s="45" t="s">
        <v>114</v>
      </c>
      <c r="J22" s="45"/>
      <c r="K22" s="45"/>
      <c r="L22" s="45"/>
      <c r="M22" s="45">
        <f>+K22-J22</f>
        <v>0</v>
      </c>
      <c r="N22" s="45"/>
      <c r="O22" s="45"/>
      <c r="P22" s="45"/>
      <c r="Q22" s="45"/>
      <c r="R22" s="39"/>
      <c r="S22" s="39"/>
      <c r="T22" s="39"/>
    </row>
    <row r="23" spans="1:20" hidden="1" x14ac:dyDescent="0.2">
      <c r="A23" s="47"/>
      <c r="B23" s="43"/>
      <c r="C23" s="52" t="s">
        <v>196</v>
      </c>
      <c r="D23" s="45"/>
      <c r="E23" s="45"/>
      <c r="F23" s="45"/>
      <c r="G23" s="45"/>
      <c r="H23" s="45">
        <f t="shared" ref="H23:H32" si="1">+F23-G23</f>
        <v>0</v>
      </c>
      <c r="I23" s="45" t="s">
        <v>197</v>
      </c>
      <c r="J23" s="45"/>
      <c r="K23" s="45"/>
      <c r="L23" s="45">
        <f>-K23</f>
        <v>0</v>
      </c>
      <c r="M23" s="45">
        <f t="shared" ref="M23" si="2">+K23-J23</f>
        <v>0</v>
      </c>
      <c r="N23" s="45"/>
      <c r="O23" s="45"/>
      <c r="P23" s="45"/>
      <c r="Q23" s="45"/>
      <c r="R23" s="39"/>
      <c r="S23" s="39"/>
      <c r="T23" s="39"/>
    </row>
    <row r="24" spans="1:20" ht="15.75" hidden="1" x14ac:dyDescent="0.25">
      <c r="A24" s="47"/>
      <c r="B24" s="43"/>
      <c r="C24" s="52" t="s">
        <v>182</v>
      </c>
      <c r="D24" s="50"/>
      <c r="E24" s="45"/>
      <c r="F24" s="45"/>
      <c r="G24" s="45"/>
      <c r="H24" s="45">
        <f t="shared" si="1"/>
        <v>0</v>
      </c>
      <c r="I24" s="45"/>
      <c r="J24" s="45"/>
      <c r="K24" s="45"/>
      <c r="L24" s="45"/>
      <c r="M24" s="45"/>
      <c r="N24" s="45"/>
      <c r="O24" s="45"/>
      <c r="P24" s="45"/>
      <c r="Q24" s="45"/>
      <c r="R24" s="39"/>
      <c r="S24" s="39"/>
      <c r="T24" s="39"/>
    </row>
    <row r="25" spans="1:20" ht="15.75" hidden="1" x14ac:dyDescent="0.25">
      <c r="A25" s="47"/>
      <c r="B25" s="43"/>
      <c r="C25" s="44" t="s">
        <v>71</v>
      </c>
      <c r="D25" s="50"/>
      <c r="E25" s="45"/>
      <c r="F25" s="45"/>
      <c r="G25" s="45"/>
      <c r="H25" s="45">
        <f t="shared" si="1"/>
        <v>0</v>
      </c>
      <c r="I25" s="45"/>
      <c r="J25" s="45"/>
      <c r="K25" s="45"/>
      <c r="L25" s="45"/>
      <c r="M25" s="45"/>
      <c r="N25" s="45"/>
      <c r="O25" s="45"/>
      <c r="P25" s="45"/>
      <c r="Q25" s="45"/>
      <c r="R25" s="39"/>
      <c r="S25" s="39"/>
      <c r="T25" s="39"/>
    </row>
    <row r="26" spans="1:20" ht="15.75" hidden="1" x14ac:dyDescent="0.25">
      <c r="A26" s="47"/>
      <c r="B26" s="43"/>
      <c r="C26" s="52" t="s">
        <v>169</v>
      </c>
      <c r="D26" s="50"/>
      <c r="E26" s="45" t="s">
        <v>198</v>
      </c>
      <c r="F26" s="45"/>
      <c r="G26" s="45"/>
      <c r="H26" s="45">
        <f t="shared" si="1"/>
        <v>0</v>
      </c>
      <c r="I26" s="45" t="s">
        <v>199</v>
      </c>
      <c r="J26" s="45"/>
      <c r="K26" s="45"/>
      <c r="L26" s="45">
        <f>+J26-K26</f>
        <v>0</v>
      </c>
      <c r="M26" s="45"/>
      <c r="N26" s="45"/>
      <c r="O26" s="45"/>
      <c r="P26" s="45"/>
      <c r="Q26" s="45"/>
      <c r="R26" s="39"/>
      <c r="S26" s="39"/>
      <c r="T26" s="39"/>
    </row>
    <row r="27" spans="1:20" s="37" customFormat="1" ht="15.75" hidden="1" x14ac:dyDescent="0.25">
      <c r="A27" s="42"/>
      <c r="B27" s="48"/>
      <c r="C27" s="52" t="s">
        <v>182</v>
      </c>
      <c r="D27" s="50"/>
      <c r="E27" s="50"/>
      <c r="F27" s="50"/>
      <c r="G27" s="50"/>
      <c r="H27" s="45">
        <f t="shared" si="1"/>
        <v>0</v>
      </c>
      <c r="I27" s="50"/>
      <c r="J27" s="50"/>
      <c r="K27" s="50"/>
      <c r="L27" s="50"/>
      <c r="M27" s="50"/>
      <c r="N27" s="50"/>
      <c r="O27" s="50"/>
      <c r="P27" s="50"/>
      <c r="Q27" s="50"/>
      <c r="R27" s="51"/>
      <c r="S27" s="51"/>
      <c r="T27" s="51"/>
    </row>
    <row r="28" spans="1:20" s="37" customFormat="1" ht="15.75" hidden="1" x14ac:dyDescent="0.25">
      <c r="A28" s="42"/>
      <c r="B28" s="48"/>
      <c r="C28" s="43" t="s">
        <v>87</v>
      </c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1"/>
      <c r="S28" s="51"/>
      <c r="T28" s="51"/>
    </row>
    <row r="29" spans="1:20" ht="15.75" hidden="1" x14ac:dyDescent="0.25">
      <c r="A29" s="47"/>
      <c r="B29" s="48"/>
      <c r="C29" s="52" t="s">
        <v>167</v>
      </c>
      <c r="D29" s="54"/>
      <c r="E29" s="55" t="s">
        <v>200</v>
      </c>
      <c r="F29" s="45"/>
      <c r="G29" s="45"/>
      <c r="H29" s="45">
        <f t="shared" si="1"/>
        <v>0</v>
      </c>
      <c r="I29" s="45" t="s">
        <v>91</v>
      </c>
      <c r="J29" s="45"/>
      <c r="K29" s="45"/>
      <c r="L29" s="45">
        <f>+J29-K29</f>
        <v>0</v>
      </c>
      <c r="M29" s="45"/>
      <c r="N29" s="45"/>
      <c r="O29" s="45"/>
      <c r="P29" s="45"/>
      <c r="Q29" s="45"/>
      <c r="R29" s="39"/>
      <c r="S29" s="39"/>
      <c r="T29" s="39"/>
    </row>
    <row r="30" spans="1:20" ht="15.75" hidden="1" x14ac:dyDescent="0.25">
      <c r="A30" s="47"/>
      <c r="B30" s="48"/>
      <c r="C30" s="52" t="s">
        <v>201</v>
      </c>
      <c r="D30" s="56"/>
      <c r="E30" s="55" t="s">
        <v>200</v>
      </c>
      <c r="F30" s="45">
        <f>D30</f>
        <v>0</v>
      </c>
      <c r="G30" s="45"/>
      <c r="H30" s="45">
        <f t="shared" si="1"/>
        <v>0</v>
      </c>
      <c r="I30" s="45" t="s">
        <v>89</v>
      </c>
      <c r="J30" s="45"/>
      <c r="K30" s="45">
        <f>F30</f>
        <v>0</v>
      </c>
      <c r="L30" s="45">
        <v>0</v>
      </c>
      <c r="M30" s="45"/>
      <c r="N30" s="45"/>
      <c r="O30" s="45"/>
      <c r="P30" s="45"/>
      <c r="Q30" s="45"/>
      <c r="R30" s="39"/>
      <c r="S30" s="39"/>
      <c r="T30" s="39"/>
    </row>
    <row r="31" spans="1:20" ht="15.75" hidden="1" x14ac:dyDescent="0.25">
      <c r="A31" s="47"/>
      <c r="B31" s="48"/>
      <c r="C31" s="52" t="s">
        <v>138</v>
      </c>
      <c r="D31" s="54"/>
      <c r="E31" s="5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 t="s">
        <v>127</v>
      </c>
      <c r="Q31" s="45"/>
      <c r="R31" s="39"/>
      <c r="S31" s="39"/>
      <c r="T31" s="39"/>
    </row>
    <row r="32" spans="1:20" ht="15.75" hidden="1" x14ac:dyDescent="0.25">
      <c r="A32" s="47"/>
      <c r="B32" s="48"/>
      <c r="C32" s="52" t="s">
        <v>182</v>
      </c>
      <c r="D32" s="45"/>
      <c r="E32" s="45"/>
      <c r="F32" s="45"/>
      <c r="G32" s="45"/>
      <c r="H32" s="45">
        <f t="shared" si="1"/>
        <v>0</v>
      </c>
      <c r="I32" s="45"/>
      <c r="J32" s="45"/>
      <c r="K32" s="45"/>
      <c r="L32" s="45"/>
      <c r="M32" s="45"/>
      <c r="N32" s="45"/>
      <c r="O32" s="45"/>
      <c r="P32" s="45"/>
      <c r="Q32" s="45"/>
      <c r="R32" s="39"/>
      <c r="S32" s="39"/>
      <c r="T32" s="39"/>
    </row>
    <row r="33" spans="1:20" ht="15.75" x14ac:dyDescent="0.25">
      <c r="A33" s="47"/>
      <c r="B33" s="48" t="s">
        <v>177</v>
      </c>
      <c r="C33" s="52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39"/>
      <c r="S33" s="39"/>
      <c r="T33" s="39"/>
    </row>
    <row r="34" spans="1:20" ht="15.75" x14ac:dyDescent="0.25">
      <c r="A34" s="47"/>
      <c r="B34" s="48"/>
      <c r="C34" s="52" t="s">
        <v>243</v>
      </c>
      <c r="D34" s="45">
        <v>-605907.75</v>
      </c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208">
        <f>D34</f>
        <v>-605907.75</v>
      </c>
      <c r="Q34" s="45"/>
      <c r="R34" s="39"/>
      <c r="S34" s="39"/>
      <c r="T34" s="39"/>
    </row>
    <row r="35" spans="1:20" s="37" customFormat="1" ht="15.75" x14ac:dyDescent="0.25">
      <c r="A35" s="42" t="str">
        <f>'FC1 SEPTEMBER'!A105</f>
        <v>Balance as of June 30, 2023</v>
      </c>
      <c r="B35" s="48"/>
      <c r="C35" s="49"/>
      <c r="D35" s="50">
        <f>SUM(D9:D34)</f>
        <v>0</v>
      </c>
      <c r="E35" s="50">
        <f>E9+E28+E20+E11</f>
        <v>0</v>
      </c>
      <c r="F35" s="50"/>
      <c r="G35" s="50"/>
      <c r="H35" s="50">
        <f>+H11+H20</f>
        <v>0</v>
      </c>
      <c r="I35" s="50">
        <f>SUM(I12:I32)</f>
        <v>0</v>
      </c>
      <c r="J35" s="50"/>
      <c r="K35" s="50"/>
      <c r="L35" s="50">
        <f>+L11+L20</f>
        <v>0</v>
      </c>
      <c r="M35" s="50">
        <f>SUM(M11:M32)</f>
        <v>0</v>
      </c>
      <c r="N35" s="50"/>
      <c r="O35" s="50">
        <f>SUM(O11:O32)</f>
        <v>0</v>
      </c>
      <c r="P35" s="50"/>
      <c r="Q35" s="50">
        <f>SUM(Q11:Q32)</f>
        <v>0</v>
      </c>
      <c r="R35" s="51"/>
      <c r="S35" s="51"/>
      <c r="T35" s="51"/>
    </row>
    <row r="36" spans="1:20" x14ac:dyDescent="0.2">
      <c r="A36" s="57" t="s">
        <v>163</v>
      </c>
      <c r="D36" s="39">
        <f>D35-[28]FC1SGE!$J$15</f>
        <v>0</v>
      </c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</row>
    <row r="37" spans="1:20" ht="15.75" x14ac:dyDescent="0.25">
      <c r="A37" s="57"/>
      <c r="C37" s="37" t="s">
        <v>117</v>
      </c>
      <c r="E37" s="37" t="s">
        <v>118</v>
      </c>
      <c r="I37" s="37" t="s">
        <v>119</v>
      </c>
      <c r="J37" s="39"/>
      <c r="K37" s="39"/>
      <c r="L37" s="39"/>
      <c r="M37" s="37"/>
      <c r="N37" s="37"/>
      <c r="O37" s="37"/>
      <c r="P37" s="58" t="s">
        <v>160</v>
      </c>
      <c r="Q37" s="39"/>
      <c r="R37" s="39"/>
      <c r="S37" s="39"/>
      <c r="T37" s="39"/>
    </row>
    <row r="38" spans="1:20" x14ac:dyDescent="0.2">
      <c r="C38" s="59" t="s">
        <v>121</v>
      </c>
      <c r="D38" s="39">
        <f>D35</f>
        <v>0</v>
      </c>
      <c r="I38" s="39"/>
      <c r="J38" s="60" t="s">
        <v>122</v>
      </c>
      <c r="K38" s="61"/>
      <c r="L38" s="39">
        <f>L35</f>
        <v>0</v>
      </c>
      <c r="M38" s="39"/>
      <c r="N38" s="39"/>
      <c r="O38" s="39"/>
      <c r="P38" s="39"/>
      <c r="Q38" s="39"/>
      <c r="R38" s="39"/>
      <c r="S38" s="39"/>
      <c r="T38" s="39"/>
    </row>
    <row r="39" spans="1:20" x14ac:dyDescent="0.2">
      <c r="C39" s="59" t="s">
        <v>123</v>
      </c>
      <c r="D39" s="39">
        <f>D9</f>
        <v>605907.75</v>
      </c>
      <c r="I39" s="39"/>
      <c r="J39" s="60" t="s">
        <v>124</v>
      </c>
      <c r="K39" s="61"/>
      <c r="L39" s="39">
        <f>M35</f>
        <v>0</v>
      </c>
      <c r="M39" s="39"/>
      <c r="N39" s="39"/>
      <c r="O39" s="39"/>
      <c r="P39" s="39"/>
      <c r="Q39" s="39"/>
      <c r="R39" s="39"/>
      <c r="S39" s="39"/>
      <c r="T39" s="39"/>
    </row>
    <row r="40" spans="1:20" ht="15.75" x14ac:dyDescent="0.25">
      <c r="C40" s="62" t="s">
        <v>125</v>
      </c>
      <c r="D40" s="51">
        <f>+D38-D39</f>
        <v>-605907.75</v>
      </c>
      <c r="E40" s="63" t="s">
        <v>126</v>
      </c>
      <c r="H40" s="64">
        <f>+H35</f>
        <v>0</v>
      </c>
      <c r="I40" s="39"/>
      <c r="J40" s="60" t="s">
        <v>127</v>
      </c>
      <c r="K40" s="65"/>
      <c r="L40" s="51">
        <f>P34</f>
        <v>-605907.75</v>
      </c>
      <c r="M40" s="39"/>
      <c r="N40" s="39"/>
      <c r="O40" s="39">
        <f>L38-L39</f>
        <v>0</v>
      </c>
      <c r="P40" s="51" t="s">
        <v>127</v>
      </c>
      <c r="Q40" s="51"/>
      <c r="R40" s="39"/>
      <c r="S40" s="39"/>
      <c r="T40" s="39"/>
    </row>
    <row r="41" spans="1:20" ht="15.75" x14ac:dyDescent="0.25">
      <c r="I41" s="39"/>
      <c r="J41" s="66" t="s">
        <v>128</v>
      </c>
      <c r="K41" s="51"/>
      <c r="L41" s="51">
        <f>+L38-L39+L40</f>
        <v>-605907.75</v>
      </c>
      <c r="M41" s="51"/>
      <c r="N41" s="51"/>
      <c r="O41" s="51">
        <f>+L38-L39-O40</f>
        <v>0</v>
      </c>
      <c r="P41" s="39"/>
      <c r="Q41" s="39"/>
      <c r="R41" s="39"/>
      <c r="S41" s="39"/>
      <c r="T41" s="39"/>
    </row>
    <row r="42" spans="1:20" s="67" customFormat="1" x14ac:dyDescent="0.2">
      <c r="D42" s="68"/>
      <c r="I42" s="68"/>
      <c r="J42" s="68"/>
      <c r="K42" s="68"/>
      <c r="L42" s="68">
        <f>D40-L41</f>
        <v>0</v>
      </c>
      <c r="M42" s="68"/>
      <c r="N42" s="68"/>
      <c r="O42" s="68"/>
      <c r="P42" s="68"/>
      <c r="Q42" s="68"/>
      <c r="R42" s="68"/>
      <c r="S42" s="68"/>
      <c r="T42" s="68"/>
    </row>
    <row r="43" spans="1:20" s="67" customFormat="1" x14ac:dyDescent="0.2">
      <c r="D43" s="68"/>
      <c r="E43" s="69">
        <f>D35</f>
        <v>0</v>
      </c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</row>
    <row r="44" spans="1:20" s="67" customFormat="1" ht="15.75" x14ac:dyDescent="0.25">
      <c r="D44" s="68"/>
      <c r="E44" s="70">
        <f>[27]FC1SGE!$J$19</f>
        <v>1060847.8499999975</v>
      </c>
      <c r="I44" s="350"/>
      <c r="J44" s="350"/>
      <c r="K44" s="350"/>
      <c r="L44" s="350"/>
      <c r="M44" s="350"/>
      <c r="N44" s="350"/>
      <c r="O44" s="350"/>
      <c r="P44" s="350"/>
      <c r="Q44" s="350"/>
      <c r="R44" s="68"/>
      <c r="S44" s="68"/>
      <c r="T44" s="68"/>
    </row>
    <row r="45" spans="1:20" s="67" customFormat="1" hidden="1" x14ac:dyDescent="0.2">
      <c r="C45" s="71"/>
      <c r="D45" s="68"/>
      <c r="E45" s="72"/>
      <c r="I45" s="73"/>
      <c r="J45" s="73"/>
      <c r="K45" s="73"/>
      <c r="L45" s="73"/>
      <c r="M45" s="73"/>
      <c r="N45" s="73"/>
      <c r="O45" s="73"/>
      <c r="P45" s="73"/>
      <c r="Q45" s="73"/>
      <c r="R45" s="68"/>
      <c r="S45" s="68"/>
      <c r="T45" s="68"/>
    </row>
    <row r="46" spans="1:20" s="67" customFormat="1" x14ac:dyDescent="0.2">
      <c r="C46" s="71"/>
      <c r="D46" s="68"/>
      <c r="E46" s="69">
        <f>E43-E44</f>
        <v>-1060847.8499999975</v>
      </c>
      <c r="I46" s="73"/>
      <c r="J46" s="73"/>
      <c r="K46" s="73"/>
      <c r="L46" s="73"/>
      <c r="M46" s="73"/>
      <c r="N46" s="73"/>
      <c r="O46" s="73"/>
      <c r="P46" s="73"/>
      <c r="Q46" s="73"/>
      <c r="R46" s="68"/>
      <c r="S46" s="68"/>
      <c r="T46" s="68"/>
    </row>
    <row r="47" spans="1:20" s="74" customFormat="1" ht="16.5" x14ac:dyDescent="0.3">
      <c r="D47" s="75" t="s">
        <v>131</v>
      </c>
      <c r="E47" s="76"/>
      <c r="J47" s="77"/>
      <c r="K47" s="3" t="s">
        <v>132</v>
      </c>
      <c r="L47" s="77"/>
      <c r="M47" s="77"/>
      <c r="N47" s="77"/>
      <c r="O47" s="77"/>
      <c r="P47" s="76" t="s">
        <v>202</v>
      </c>
      <c r="Q47" s="76">
        <f>22029704.73-16100096.25</f>
        <v>5929608.4800000004</v>
      </c>
      <c r="R47" s="76">
        <v>-16100096.25</v>
      </c>
      <c r="S47" s="76">
        <v>0</v>
      </c>
      <c r="T47" s="76">
        <v>22029704.73</v>
      </c>
    </row>
    <row r="48" spans="1:20" s="74" customFormat="1" ht="16.5" x14ac:dyDescent="0.3">
      <c r="E48" s="77"/>
      <c r="J48" s="77"/>
      <c r="K48" s="77"/>
      <c r="L48" s="77"/>
      <c r="M48" s="77"/>
      <c r="N48" s="77"/>
      <c r="O48" s="77"/>
      <c r="P48" s="76" t="s">
        <v>203</v>
      </c>
      <c r="Q48" s="78">
        <f>SUM(Q46:Q47)</f>
        <v>5929608.4800000004</v>
      </c>
      <c r="R48" s="76">
        <f>Q46+R47</f>
        <v>-16100096.25</v>
      </c>
      <c r="S48" s="76">
        <f>R48+S47</f>
        <v>-16100096.25</v>
      </c>
      <c r="T48" s="79">
        <f>S48+T47</f>
        <v>5929608.4800000004</v>
      </c>
    </row>
    <row r="49" spans="4:20" s="74" customFormat="1" ht="16.5" x14ac:dyDescent="0.3">
      <c r="E49" s="77"/>
      <c r="J49" s="77"/>
      <c r="K49" s="77"/>
      <c r="L49" s="77"/>
      <c r="M49" s="77"/>
      <c r="N49" s="77"/>
      <c r="O49" s="77"/>
      <c r="P49" s="76"/>
      <c r="Q49" s="76"/>
      <c r="R49" s="76"/>
      <c r="S49" s="76"/>
      <c r="T49" s="80"/>
    </row>
    <row r="50" spans="4:20" s="74" customFormat="1" ht="16.5" x14ac:dyDescent="0.3">
      <c r="D50" s="351" t="s">
        <v>256</v>
      </c>
      <c r="E50" s="351"/>
      <c r="F50" s="351"/>
      <c r="J50" s="81"/>
      <c r="K50" s="351" t="s">
        <v>133</v>
      </c>
      <c r="L50" s="351"/>
      <c r="M50" s="351"/>
      <c r="N50" s="81"/>
      <c r="O50" s="81"/>
      <c r="P50" s="82"/>
      <c r="Q50" s="76"/>
      <c r="R50" s="76"/>
      <c r="S50" s="76"/>
      <c r="T50" s="80"/>
    </row>
    <row r="51" spans="4:20" s="74" customFormat="1" ht="16.5" x14ac:dyDescent="0.3">
      <c r="D51" s="352" t="s">
        <v>134</v>
      </c>
      <c r="E51" s="352"/>
      <c r="F51" s="352"/>
      <c r="J51" s="83"/>
      <c r="K51" s="352" t="s">
        <v>135</v>
      </c>
      <c r="L51" s="352"/>
      <c r="M51" s="352"/>
      <c r="N51" s="83"/>
      <c r="O51" s="83"/>
      <c r="P51" s="83"/>
      <c r="Q51" s="77"/>
      <c r="R51" s="77"/>
      <c r="S51" s="77"/>
    </row>
  </sheetData>
  <mergeCells count="12">
    <mergeCell ref="A6:C8"/>
    <mergeCell ref="D6:D8"/>
    <mergeCell ref="E6:M6"/>
    <mergeCell ref="N6:O8"/>
    <mergeCell ref="P6:Q8"/>
    <mergeCell ref="E7:H7"/>
    <mergeCell ref="I7:M7"/>
    <mergeCell ref="I44:Q44"/>
    <mergeCell ref="D50:F50"/>
    <mergeCell ref="K50:M50"/>
    <mergeCell ref="D51:F51"/>
    <mergeCell ref="K51:M51"/>
  </mergeCells>
  <printOptions horizontalCentered="1"/>
  <pageMargins left="0" right="0" top="0.75" bottom="0.75" header="0.3" footer="0.3"/>
  <pageSetup paperSize="9" scale="4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6"/>
  <sheetViews>
    <sheetView zoomScale="85" zoomScaleNormal="85" zoomScaleSheetLayoutView="81" workbookViewId="0">
      <selection activeCell="G51" sqref="G51"/>
    </sheetView>
  </sheetViews>
  <sheetFormatPr defaultColWidth="9.140625" defaultRowHeight="15" x14ac:dyDescent="0.2"/>
  <cols>
    <col min="1" max="1" width="2.28515625" style="38" customWidth="1"/>
    <col min="2" max="2" width="22.5703125" style="38" customWidth="1"/>
    <col min="3" max="3" width="70.5703125" style="38" bestFit="1" customWidth="1"/>
    <col min="4" max="4" width="17.7109375" style="39" bestFit="1" customWidth="1"/>
    <col min="5" max="5" width="33.140625" style="38" bestFit="1" customWidth="1"/>
    <col min="6" max="6" width="17.28515625" style="38" customWidth="1"/>
    <col min="7" max="7" width="19" style="38" customWidth="1"/>
    <col min="8" max="8" width="17.7109375" style="38" bestFit="1" customWidth="1"/>
    <col min="9" max="9" width="22.28515625" style="38" customWidth="1"/>
    <col min="10" max="10" width="18.28515625" style="38" bestFit="1" customWidth="1"/>
    <col min="11" max="11" width="16.85546875" style="38" bestFit="1" customWidth="1"/>
    <col min="12" max="13" width="17" style="38" bestFit="1" customWidth="1"/>
    <col min="14" max="14" width="15.42578125" style="38" hidden="1" customWidth="1"/>
    <col min="15" max="15" width="13.85546875" style="38" hidden="1" customWidth="1"/>
    <col min="16" max="16" width="12.42578125" style="38" customWidth="1"/>
    <col min="17" max="17" width="14" style="38" customWidth="1"/>
    <col min="18" max="19" width="13.5703125" style="38" bestFit="1" customWidth="1"/>
    <col min="20" max="16384" width="9.140625" style="38"/>
  </cols>
  <sheetData>
    <row r="1" spans="1:20" ht="15.75" x14ac:dyDescent="0.25">
      <c r="A1" s="37" t="s">
        <v>0</v>
      </c>
    </row>
    <row r="2" spans="1:20" ht="15.75" x14ac:dyDescent="0.25">
      <c r="A2" s="37" t="s">
        <v>1</v>
      </c>
      <c r="B2" s="37"/>
    </row>
    <row r="3" spans="1:20" ht="15.75" x14ac:dyDescent="0.25">
      <c r="A3" s="37" t="str">
        <f>'FC1 SEPTEMBER'!A3</f>
        <v>As of September 30, 2023</v>
      </c>
      <c r="B3" s="37"/>
    </row>
    <row r="4" spans="1:20" ht="15.75" x14ac:dyDescent="0.25">
      <c r="A4" s="37" t="s">
        <v>204</v>
      </c>
      <c r="B4" s="37"/>
    </row>
    <row r="5" spans="1:20" ht="15.75" x14ac:dyDescent="0.25">
      <c r="A5" s="37"/>
      <c r="B5" s="37"/>
    </row>
    <row r="6" spans="1:20" ht="15.75" customHeight="1" x14ac:dyDescent="0.25">
      <c r="A6" s="353" t="s">
        <v>3</v>
      </c>
      <c r="B6" s="353"/>
      <c r="C6" s="353"/>
      <c r="D6" s="354" t="s">
        <v>4</v>
      </c>
      <c r="E6" s="355" t="s">
        <v>5</v>
      </c>
      <c r="F6" s="355"/>
      <c r="G6" s="355"/>
      <c r="H6" s="355"/>
      <c r="I6" s="355"/>
      <c r="J6" s="355"/>
      <c r="K6" s="355"/>
      <c r="L6" s="355"/>
      <c r="M6" s="355"/>
      <c r="N6" s="356" t="s">
        <v>184</v>
      </c>
      <c r="O6" s="357"/>
      <c r="P6" s="356" t="s">
        <v>242</v>
      </c>
      <c r="Q6" s="357"/>
    </row>
    <row r="7" spans="1:20" ht="15.75" x14ac:dyDescent="0.25">
      <c r="A7" s="353"/>
      <c r="B7" s="353"/>
      <c r="C7" s="353"/>
      <c r="D7" s="354"/>
      <c r="E7" s="362" t="s">
        <v>7</v>
      </c>
      <c r="F7" s="363"/>
      <c r="G7" s="363"/>
      <c r="H7" s="364"/>
      <c r="I7" s="355" t="s">
        <v>8</v>
      </c>
      <c r="J7" s="355"/>
      <c r="K7" s="355"/>
      <c r="L7" s="355"/>
      <c r="M7" s="355"/>
      <c r="N7" s="358"/>
      <c r="O7" s="359"/>
      <c r="P7" s="358"/>
      <c r="Q7" s="359"/>
    </row>
    <row r="8" spans="1:20" s="41" customFormat="1" ht="30" x14ac:dyDescent="0.25">
      <c r="A8" s="353"/>
      <c r="B8" s="353"/>
      <c r="C8" s="353"/>
      <c r="D8" s="354"/>
      <c r="E8" s="40" t="s">
        <v>9</v>
      </c>
      <c r="F8" s="40" t="s">
        <v>10</v>
      </c>
      <c r="G8" s="40" t="s">
        <v>11</v>
      </c>
      <c r="H8" s="40" t="s">
        <v>12</v>
      </c>
      <c r="I8" s="40" t="s">
        <v>9</v>
      </c>
      <c r="J8" s="40" t="s">
        <v>10</v>
      </c>
      <c r="K8" s="40" t="s">
        <v>11</v>
      </c>
      <c r="L8" s="40" t="s">
        <v>13</v>
      </c>
      <c r="M8" s="40" t="s">
        <v>14</v>
      </c>
      <c r="N8" s="360"/>
      <c r="O8" s="361"/>
      <c r="P8" s="360"/>
      <c r="Q8" s="361"/>
    </row>
    <row r="9" spans="1:20" ht="15.75" x14ac:dyDescent="0.25">
      <c r="A9" s="42" t="s">
        <v>235</v>
      </c>
      <c r="B9" s="43"/>
      <c r="C9" s="44"/>
      <c r="D9" s="45">
        <v>35450.35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</row>
    <row r="10" spans="1:20" x14ac:dyDescent="0.2">
      <c r="A10" s="47"/>
      <c r="B10" s="43"/>
      <c r="C10" s="44"/>
      <c r="D10" s="45"/>
      <c r="E10" s="46"/>
      <c r="F10" s="46"/>
      <c r="G10" s="46"/>
      <c r="H10" s="46"/>
      <c r="I10" s="45"/>
      <c r="J10" s="45"/>
      <c r="K10" s="45"/>
      <c r="L10" s="45"/>
      <c r="M10" s="45"/>
      <c r="N10" s="45"/>
      <c r="O10" s="45"/>
      <c r="P10" s="45"/>
      <c r="Q10" s="45"/>
      <c r="R10" s="39"/>
      <c r="S10" s="39"/>
      <c r="T10" s="39"/>
    </row>
    <row r="11" spans="1:20" s="37" customFormat="1" ht="15.75" x14ac:dyDescent="0.25">
      <c r="A11" s="42"/>
      <c r="B11" s="48" t="s">
        <v>16</v>
      </c>
      <c r="C11" s="49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1"/>
      <c r="S11" s="51"/>
      <c r="T11" s="51"/>
    </row>
    <row r="12" spans="1:20" ht="15.75" x14ac:dyDescent="0.25">
      <c r="A12" s="47"/>
      <c r="B12" s="205" t="s">
        <v>244</v>
      </c>
      <c r="C12" s="49" t="s">
        <v>17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39"/>
      <c r="S12" s="39"/>
      <c r="T12" s="39"/>
    </row>
    <row r="13" spans="1:20" s="216" customFormat="1" ht="48.75" customHeight="1" x14ac:dyDescent="0.25">
      <c r="A13" s="209"/>
      <c r="B13" s="210">
        <v>4020221099</v>
      </c>
      <c r="C13" s="211" t="s">
        <v>189</v>
      </c>
      <c r="D13" s="212">
        <f>[18]FC6!$G$13</f>
        <v>3.62</v>
      </c>
      <c r="E13" s="212" t="s">
        <v>189</v>
      </c>
      <c r="F13" s="212"/>
      <c r="G13" s="212">
        <v>3.62</v>
      </c>
      <c r="H13" s="212">
        <f>D13</f>
        <v>3.62</v>
      </c>
      <c r="I13" s="212" t="s">
        <v>247</v>
      </c>
      <c r="J13" s="212">
        <f>G13</f>
        <v>3.62</v>
      </c>
      <c r="K13" s="213"/>
      <c r="L13" s="212">
        <f>+J13-K13</f>
        <v>3.62</v>
      </c>
      <c r="M13" s="212"/>
      <c r="N13" s="214"/>
      <c r="O13" s="212"/>
      <c r="P13" s="212"/>
      <c r="Q13" s="212"/>
      <c r="R13" s="215"/>
      <c r="S13" s="215"/>
      <c r="T13" s="215"/>
    </row>
    <row r="14" spans="1:20" ht="15.75" hidden="1" x14ac:dyDescent="0.25">
      <c r="A14" s="47"/>
      <c r="B14" s="43"/>
      <c r="C14" s="52" t="s">
        <v>182</v>
      </c>
      <c r="D14" s="50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39"/>
      <c r="S14" s="39"/>
      <c r="T14" s="39"/>
    </row>
    <row r="15" spans="1:20" ht="15.75" hidden="1" x14ac:dyDescent="0.25">
      <c r="A15" s="47"/>
      <c r="B15" s="43"/>
      <c r="C15" s="44" t="s">
        <v>181</v>
      </c>
      <c r="D15" s="50"/>
      <c r="E15" s="45"/>
      <c r="F15" s="45"/>
      <c r="G15" s="45"/>
      <c r="H15" s="45">
        <f t="shared" ref="H15" si="0">+G15-F15</f>
        <v>0</v>
      </c>
      <c r="I15" s="45"/>
      <c r="J15" s="45"/>
      <c r="K15" s="45"/>
      <c r="L15" s="45"/>
      <c r="M15" s="45"/>
      <c r="N15" s="45"/>
      <c r="O15" s="45"/>
      <c r="P15" s="45"/>
      <c r="Q15" s="45"/>
      <c r="R15" s="39"/>
      <c r="S15" s="39"/>
      <c r="T15" s="39"/>
    </row>
    <row r="16" spans="1:20" ht="15.75" hidden="1" x14ac:dyDescent="0.25">
      <c r="A16" s="47"/>
      <c r="B16" s="43"/>
      <c r="C16" s="52" t="s">
        <v>182</v>
      </c>
      <c r="D16" s="50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39"/>
      <c r="S16" s="39"/>
      <c r="T16" s="39"/>
    </row>
    <row r="17" spans="1:20" s="37" customFormat="1" ht="15.75" hidden="1" x14ac:dyDescent="0.25">
      <c r="A17" s="42"/>
      <c r="B17" s="48" t="s">
        <v>23</v>
      </c>
      <c r="C17" s="49"/>
      <c r="D17" s="50"/>
      <c r="E17" s="50">
        <f>SUM(E18:E22)</f>
        <v>0</v>
      </c>
      <c r="F17" s="50"/>
      <c r="G17" s="50"/>
      <c r="H17" s="50">
        <f>SUM(H18:H30)</f>
        <v>0</v>
      </c>
      <c r="I17" s="50"/>
      <c r="J17" s="50"/>
      <c r="K17" s="50"/>
      <c r="L17" s="50"/>
      <c r="M17" s="50"/>
      <c r="N17" s="50"/>
      <c r="O17" s="50"/>
      <c r="P17" s="50"/>
      <c r="Q17" s="50"/>
      <c r="R17" s="51"/>
      <c r="S17" s="51"/>
      <c r="T17" s="51"/>
    </row>
    <row r="18" spans="1:20" ht="15.75" hidden="1" x14ac:dyDescent="0.25">
      <c r="A18" s="47"/>
      <c r="B18" s="43"/>
      <c r="C18" s="44" t="s">
        <v>24</v>
      </c>
      <c r="D18" s="50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39"/>
      <c r="S18" s="39"/>
      <c r="T18" s="39"/>
    </row>
    <row r="19" spans="1:20" hidden="1" x14ac:dyDescent="0.2">
      <c r="A19" s="47"/>
      <c r="B19" s="43"/>
      <c r="C19" s="52" t="s">
        <v>205</v>
      </c>
      <c r="D19" s="45"/>
      <c r="E19" s="45"/>
      <c r="F19" s="45"/>
      <c r="G19" s="45"/>
      <c r="H19" s="45">
        <f>+F19-G19</f>
        <v>0</v>
      </c>
      <c r="I19" s="45" t="s">
        <v>206</v>
      </c>
      <c r="J19" s="45"/>
      <c r="K19" s="45"/>
      <c r="L19" s="45"/>
      <c r="M19" s="45">
        <f>+K19-J19</f>
        <v>0</v>
      </c>
      <c r="N19" s="45"/>
      <c r="O19" s="45"/>
      <c r="P19" s="45"/>
      <c r="Q19" s="45"/>
      <c r="R19" s="39"/>
      <c r="S19" s="39"/>
      <c r="T19" s="39"/>
    </row>
    <row r="20" spans="1:20" hidden="1" x14ac:dyDescent="0.2">
      <c r="A20" s="47"/>
      <c r="B20" s="43"/>
      <c r="C20" s="52" t="s">
        <v>207</v>
      </c>
      <c r="D20" s="45"/>
      <c r="E20" s="45"/>
      <c r="F20" s="45"/>
      <c r="G20" s="45"/>
      <c r="H20" s="45">
        <f>+F20-G20</f>
        <v>0</v>
      </c>
      <c r="I20" s="45" t="s">
        <v>208</v>
      </c>
      <c r="J20" s="45"/>
      <c r="K20" s="45"/>
      <c r="L20" s="45"/>
      <c r="M20" s="45">
        <f>+K20-J20</f>
        <v>0</v>
      </c>
      <c r="N20" s="45"/>
      <c r="O20" s="45"/>
      <c r="P20" s="45"/>
      <c r="Q20" s="45"/>
      <c r="R20" s="39"/>
      <c r="S20" s="39"/>
      <c r="T20" s="39"/>
    </row>
    <row r="21" spans="1:20" ht="15.75" hidden="1" x14ac:dyDescent="0.25">
      <c r="A21" s="47"/>
      <c r="B21" s="43"/>
      <c r="C21" s="52" t="s">
        <v>182</v>
      </c>
      <c r="D21" s="50"/>
      <c r="E21" s="45"/>
      <c r="F21" s="45"/>
      <c r="G21" s="45"/>
      <c r="H21" s="45">
        <f t="shared" ref="H21:H30" si="1">+F21-G21</f>
        <v>0</v>
      </c>
      <c r="I21" s="45"/>
      <c r="J21" s="45"/>
      <c r="K21" s="45"/>
      <c r="L21" s="45"/>
      <c r="M21" s="45"/>
      <c r="N21" s="45"/>
      <c r="O21" s="45"/>
      <c r="P21" s="45"/>
      <c r="Q21" s="45"/>
      <c r="R21" s="39"/>
      <c r="S21" s="39"/>
      <c r="T21" s="39"/>
    </row>
    <row r="22" spans="1:20" ht="15.75" hidden="1" x14ac:dyDescent="0.25">
      <c r="A22" s="47"/>
      <c r="B22" s="43"/>
      <c r="C22" s="44" t="s">
        <v>71</v>
      </c>
      <c r="D22" s="50"/>
      <c r="E22" s="45"/>
      <c r="F22" s="45"/>
      <c r="G22" s="45"/>
      <c r="H22" s="45">
        <f t="shared" si="1"/>
        <v>0</v>
      </c>
      <c r="I22" s="45"/>
      <c r="J22" s="45"/>
      <c r="K22" s="45"/>
      <c r="L22" s="45"/>
      <c r="M22" s="45"/>
      <c r="N22" s="45"/>
      <c r="O22" s="45"/>
      <c r="P22" s="45"/>
      <c r="Q22" s="45"/>
      <c r="R22" s="39"/>
      <c r="S22" s="39"/>
      <c r="T22" s="39"/>
    </row>
    <row r="23" spans="1:20" hidden="1" x14ac:dyDescent="0.2">
      <c r="A23" s="47"/>
      <c r="B23" s="43"/>
      <c r="C23" s="52" t="s">
        <v>209</v>
      </c>
      <c r="D23" s="45"/>
      <c r="E23" s="45"/>
      <c r="F23" s="45"/>
      <c r="G23" s="45"/>
      <c r="H23" s="45">
        <f t="shared" si="1"/>
        <v>0</v>
      </c>
      <c r="I23" s="45" t="s">
        <v>206</v>
      </c>
      <c r="J23" s="45"/>
      <c r="K23" s="45"/>
      <c r="L23" s="45">
        <f>+J23-K23</f>
        <v>0</v>
      </c>
      <c r="M23" s="45"/>
      <c r="N23" s="45"/>
      <c r="O23" s="45"/>
      <c r="P23" s="45"/>
      <c r="Q23" s="45"/>
      <c r="R23" s="39"/>
      <c r="S23" s="39"/>
      <c r="T23" s="39"/>
    </row>
    <row r="24" spans="1:20" hidden="1" x14ac:dyDescent="0.2">
      <c r="A24" s="47"/>
      <c r="B24" s="43"/>
      <c r="C24" s="52" t="s">
        <v>210</v>
      </c>
      <c r="D24" s="45"/>
      <c r="E24" s="45"/>
      <c r="F24" s="45"/>
      <c r="G24" s="45"/>
      <c r="H24" s="45">
        <f t="shared" si="1"/>
        <v>0</v>
      </c>
      <c r="I24" s="45" t="s">
        <v>190</v>
      </c>
      <c r="J24" s="45"/>
      <c r="K24" s="45"/>
      <c r="L24" s="45">
        <f>+J24-K24</f>
        <v>0</v>
      </c>
      <c r="M24" s="45"/>
      <c r="N24" s="45"/>
      <c r="O24" s="45"/>
      <c r="P24" s="45"/>
      <c r="Q24" s="45"/>
      <c r="R24" s="39"/>
      <c r="S24" s="39"/>
      <c r="T24" s="39"/>
    </row>
    <row r="25" spans="1:20" s="37" customFormat="1" ht="15.75" hidden="1" x14ac:dyDescent="0.25">
      <c r="A25" s="42"/>
      <c r="B25" s="48"/>
      <c r="C25" s="52" t="s">
        <v>182</v>
      </c>
      <c r="D25" s="50"/>
      <c r="E25" s="50"/>
      <c r="F25" s="50"/>
      <c r="G25" s="50"/>
      <c r="H25" s="45">
        <f t="shared" si="1"/>
        <v>0</v>
      </c>
      <c r="I25" s="50"/>
      <c r="J25" s="50"/>
      <c r="K25" s="50"/>
      <c r="L25" s="50"/>
      <c r="M25" s="50"/>
      <c r="N25" s="50"/>
      <c r="O25" s="50"/>
      <c r="P25" s="50"/>
      <c r="Q25" s="50"/>
      <c r="R25" s="51"/>
      <c r="S25" s="51"/>
      <c r="T25" s="51"/>
    </row>
    <row r="26" spans="1:20" s="37" customFormat="1" ht="15.75" hidden="1" x14ac:dyDescent="0.25">
      <c r="A26" s="42"/>
      <c r="B26" s="48"/>
      <c r="C26" s="43" t="s">
        <v>87</v>
      </c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1"/>
      <c r="S26" s="51"/>
      <c r="T26" s="51"/>
    </row>
    <row r="27" spans="1:20" ht="15.75" hidden="1" x14ac:dyDescent="0.25">
      <c r="A27" s="47"/>
      <c r="B27" s="48"/>
      <c r="C27" s="52" t="s">
        <v>167</v>
      </c>
      <c r="D27" s="54"/>
      <c r="E27" s="55"/>
      <c r="F27" s="45"/>
      <c r="G27" s="45"/>
      <c r="H27" s="45">
        <f t="shared" si="1"/>
        <v>0</v>
      </c>
      <c r="I27" s="45" t="s">
        <v>91</v>
      </c>
      <c r="J27" s="45"/>
      <c r="K27" s="45"/>
      <c r="L27" s="45">
        <f>+J27-K27</f>
        <v>0</v>
      </c>
      <c r="M27" s="45"/>
      <c r="N27" s="45"/>
      <c r="O27" s="45"/>
      <c r="P27" s="45"/>
      <c r="Q27" s="45"/>
      <c r="R27" s="39"/>
      <c r="S27" s="39"/>
      <c r="T27" s="39"/>
    </row>
    <row r="28" spans="1:20" ht="15.75" hidden="1" x14ac:dyDescent="0.25">
      <c r="A28" s="47"/>
      <c r="B28" s="48"/>
      <c r="C28" s="52" t="s">
        <v>201</v>
      </c>
      <c r="D28" s="54"/>
      <c r="E28" s="55"/>
      <c r="F28" s="45"/>
      <c r="G28" s="45"/>
      <c r="H28" s="45">
        <f t="shared" si="1"/>
        <v>0</v>
      </c>
      <c r="I28" s="45" t="s">
        <v>89</v>
      </c>
      <c r="J28" s="45"/>
      <c r="K28" s="45"/>
      <c r="L28" s="45">
        <f t="shared" ref="L28" si="2">+J28-K28</f>
        <v>0</v>
      </c>
      <c r="M28" s="45"/>
      <c r="N28" s="45"/>
      <c r="O28" s="45"/>
      <c r="P28" s="45"/>
      <c r="Q28" s="45"/>
      <c r="R28" s="39"/>
      <c r="S28" s="39"/>
      <c r="T28" s="39"/>
    </row>
    <row r="29" spans="1:20" ht="15.75" hidden="1" x14ac:dyDescent="0.25">
      <c r="A29" s="47"/>
      <c r="B29" s="48"/>
      <c r="C29" s="52" t="s">
        <v>138</v>
      </c>
      <c r="D29" s="54"/>
      <c r="E29" s="5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 t="s">
        <v>127</v>
      </c>
      <c r="Q29" s="45"/>
      <c r="R29" s="39"/>
      <c r="S29" s="39"/>
      <c r="T29" s="39"/>
    </row>
    <row r="30" spans="1:20" ht="15.75" hidden="1" x14ac:dyDescent="0.25">
      <c r="A30" s="47"/>
      <c r="B30" s="48"/>
      <c r="C30" s="52" t="s">
        <v>182</v>
      </c>
      <c r="D30" s="45"/>
      <c r="E30" s="45"/>
      <c r="F30" s="45"/>
      <c r="G30" s="45"/>
      <c r="H30" s="45">
        <f t="shared" si="1"/>
        <v>0</v>
      </c>
      <c r="I30" s="45"/>
      <c r="J30" s="45"/>
      <c r="K30" s="45"/>
      <c r="L30" s="45"/>
      <c r="M30" s="45"/>
      <c r="N30" s="45"/>
      <c r="O30" s="45"/>
      <c r="P30" s="45"/>
      <c r="Q30" s="45"/>
      <c r="R30" s="39"/>
      <c r="S30" s="39"/>
      <c r="T30" s="39"/>
    </row>
    <row r="31" spans="1:20" s="37" customFormat="1" ht="27.75" customHeight="1" x14ac:dyDescent="0.25">
      <c r="A31" s="217" t="str">
        <f>'FC1 SEPTEMBER'!A105</f>
        <v>Balance as of June 30, 2023</v>
      </c>
      <c r="B31" s="48"/>
      <c r="C31" s="49"/>
      <c r="D31" s="50">
        <f>SUM(D9:D30)</f>
        <v>35453.97</v>
      </c>
      <c r="E31" s="50">
        <f>E9+E26+E17+E11</f>
        <v>0</v>
      </c>
      <c r="F31" s="50"/>
      <c r="G31" s="50"/>
      <c r="H31" s="50">
        <f>SUM(H9:H30)</f>
        <v>3.62</v>
      </c>
      <c r="I31" s="50">
        <f>SUM(I12:I30)</f>
        <v>0</v>
      </c>
      <c r="J31" s="50"/>
      <c r="K31" s="50"/>
      <c r="L31" s="50">
        <f>SUM(L9:L30)</f>
        <v>3.62</v>
      </c>
      <c r="M31" s="50">
        <f>SUM(M9:M30)</f>
        <v>0</v>
      </c>
      <c r="N31" s="50"/>
      <c r="O31" s="50">
        <f>SUM(O11:O30)</f>
        <v>0</v>
      </c>
      <c r="P31" s="50"/>
      <c r="Q31" s="50">
        <f>SUM(Q11:Q30)</f>
        <v>0</v>
      </c>
      <c r="R31" s="51"/>
      <c r="S31" s="51"/>
      <c r="T31" s="51"/>
    </row>
    <row r="32" spans="1:20" x14ac:dyDescent="0.2">
      <c r="A32" s="57" t="s">
        <v>163</v>
      </c>
      <c r="D32" s="39">
        <f>D31-[29]FC1SGE!$J$14</f>
        <v>0</v>
      </c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</row>
    <row r="33" spans="1:20" ht="15.75" x14ac:dyDescent="0.25">
      <c r="A33" s="57"/>
      <c r="C33" s="37" t="s">
        <v>117</v>
      </c>
      <c r="E33" s="37" t="s">
        <v>118</v>
      </c>
      <c r="I33" s="37" t="s">
        <v>119</v>
      </c>
      <c r="J33" s="39"/>
      <c r="K33" s="39"/>
      <c r="L33" s="39"/>
      <c r="M33" s="37"/>
      <c r="N33" s="37"/>
      <c r="O33" s="37"/>
      <c r="P33" s="58" t="s">
        <v>160</v>
      </c>
      <c r="Q33" s="39"/>
      <c r="R33" s="39"/>
      <c r="S33" s="39"/>
      <c r="T33" s="39"/>
    </row>
    <row r="34" spans="1:20" x14ac:dyDescent="0.2">
      <c r="C34" s="59" t="s">
        <v>121</v>
      </c>
      <c r="D34" s="39">
        <f>D31</f>
        <v>35453.97</v>
      </c>
      <c r="I34" s="39"/>
      <c r="J34" s="60" t="s">
        <v>122</v>
      </c>
      <c r="K34" s="61"/>
      <c r="L34" s="39">
        <f>L31</f>
        <v>3.62</v>
      </c>
      <c r="M34" s="39"/>
      <c r="N34" s="39"/>
      <c r="O34" s="39"/>
      <c r="P34" s="39"/>
      <c r="Q34" s="39"/>
      <c r="R34" s="39"/>
      <c r="S34" s="39"/>
      <c r="T34" s="39"/>
    </row>
    <row r="35" spans="1:20" x14ac:dyDescent="0.2">
      <c r="C35" s="59" t="s">
        <v>123</v>
      </c>
      <c r="D35" s="39">
        <f>D9</f>
        <v>35450.35</v>
      </c>
      <c r="I35" s="39"/>
      <c r="J35" s="60" t="s">
        <v>124</v>
      </c>
      <c r="K35" s="61"/>
      <c r="L35" s="39">
        <f>M31</f>
        <v>0</v>
      </c>
      <c r="M35" s="39"/>
      <c r="N35" s="39"/>
      <c r="O35" s="39"/>
      <c r="P35" s="39"/>
      <c r="Q35" s="39"/>
      <c r="R35" s="39"/>
      <c r="S35" s="39"/>
      <c r="T35" s="39"/>
    </row>
    <row r="36" spans="1:20" ht="15.75" x14ac:dyDescent="0.25">
      <c r="C36" s="62" t="s">
        <v>125</v>
      </c>
      <c r="D36" s="51">
        <f>+D34-D35</f>
        <v>3.6200000000026193</v>
      </c>
      <c r="E36" s="63" t="s">
        <v>126</v>
      </c>
      <c r="H36" s="64">
        <f>+H31</f>
        <v>3.62</v>
      </c>
      <c r="I36" s="39"/>
      <c r="J36" s="60" t="s">
        <v>127</v>
      </c>
      <c r="K36" s="65"/>
      <c r="L36" s="51"/>
      <c r="M36" s="39"/>
      <c r="N36" s="39"/>
      <c r="O36" s="39"/>
      <c r="P36" s="51" t="s">
        <v>127</v>
      </c>
      <c r="Q36" s="51"/>
      <c r="R36" s="39"/>
      <c r="S36" s="39"/>
      <c r="T36" s="39"/>
    </row>
    <row r="37" spans="1:20" ht="15.75" x14ac:dyDescent="0.25">
      <c r="I37" s="39"/>
      <c r="J37" s="66" t="s">
        <v>128</v>
      </c>
      <c r="K37" s="51"/>
      <c r="L37" s="51">
        <f>L34-L35</f>
        <v>3.62</v>
      </c>
      <c r="M37" s="51"/>
      <c r="N37" s="51"/>
      <c r="O37" s="51"/>
      <c r="P37" s="39"/>
      <c r="Q37" s="39"/>
      <c r="R37" s="39"/>
      <c r="S37" s="39"/>
      <c r="T37" s="39"/>
    </row>
    <row r="38" spans="1:20" s="67" customFormat="1" x14ac:dyDescent="0.2">
      <c r="D38" s="68"/>
      <c r="I38" s="68"/>
      <c r="J38" s="68"/>
      <c r="K38" s="68"/>
      <c r="L38" s="68">
        <f>D36-L37</f>
        <v>2.6192381596956693E-12</v>
      </c>
      <c r="M38" s="68"/>
      <c r="N38" s="68"/>
      <c r="O38" s="68"/>
      <c r="P38" s="68"/>
      <c r="Q38" s="68"/>
      <c r="R38" s="68"/>
      <c r="S38" s="68"/>
      <c r="T38" s="68"/>
    </row>
    <row r="39" spans="1:20" s="67" customFormat="1" x14ac:dyDescent="0.2">
      <c r="D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</row>
    <row r="40" spans="1:20" s="67" customFormat="1" ht="15.75" x14ac:dyDescent="0.25">
      <c r="C40" s="84"/>
      <c r="D40" s="68"/>
      <c r="I40" s="350"/>
      <c r="J40" s="350"/>
      <c r="K40" s="350"/>
      <c r="L40" s="350"/>
      <c r="M40" s="350"/>
      <c r="N40" s="350"/>
      <c r="O40" s="350"/>
      <c r="P40" s="350"/>
      <c r="Q40" s="350"/>
      <c r="R40" s="68"/>
      <c r="S40" s="68"/>
      <c r="T40" s="68"/>
    </row>
    <row r="41" spans="1:20" s="67" customFormat="1" hidden="1" x14ac:dyDescent="0.2">
      <c r="C41" s="71"/>
      <c r="D41" s="68"/>
      <c r="I41" s="73"/>
      <c r="J41" s="73"/>
      <c r="K41" s="73"/>
      <c r="L41" s="73"/>
      <c r="M41" s="73"/>
      <c r="N41" s="73"/>
      <c r="O41" s="73"/>
      <c r="P41" s="73"/>
      <c r="Q41" s="73"/>
      <c r="R41" s="68"/>
      <c r="S41" s="68"/>
      <c r="T41" s="68"/>
    </row>
    <row r="42" spans="1:20" s="74" customFormat="1" ht="16.5" x14ac:dyDescent="0.3">
      <c r="D42" s="75" t="s">
        <v>131</v>
      </c>
      <c r="E42" s="77"/>
      <c r="J42" s="77"/>
      <c r="K42" s="3" t="s">
        <v>132</v>
      </c>
      <c r="L42" s="77"/>
      <c r="M42" s="77"/>
      <c r="N42" s="77"/>
      <c r="O42" s="77"/>
      <c r="P42" s="76" t="s">
        <v>202</v>
      </c>
      <c r="Q42" s="76">
        <f>22029704.73-16100096.25</f>
        <v>5929608.4800000004</v>
      </c>
      <c r="R42" s="76">
        <v>-16100096.25</v>
      </c>
      <c r="S42" s="76">
        <v>0</v>
      </c>
      <c r="T42" s="76">
        <v>22029704.73</v>
      </c>
    </row>
    <row r="43" spans="1:20" s="74" customFormat="1" ht="16.5" x14ac:dyDescent="0.3">
      <c r="E43" s="77"/>
      <c r="J43" s="77"/>
      <c r="K43" s="77"/>
      <c r="L43" s="77"/>
      <c r="M43" s="77"/>
      <c r="N43" s="77"/>
      <c r="O43" s="77"/>
      <c r="P43" s="76" t="s">
        <v>203</v>
      </c>
      <c r="Q43" s="78">
        <f>SUM(Q41:Q42)</f>
        <v>5929608.4800000004</v>
      </c>
      <c r="R43" s="76">
        <f>Q41+R42</f>
        <v>-16100096.25</v>
      </c>
      <c r="S43" s="76">
        <f>R43+S42</f>
        <v>-16100096.25</v>
      </c>
      <c r="T43" s="79">
        <f>S43+T42</f>
        <v>5929608.4800000004</v>
      </c>
    </row>
    <row r="44" spans="1:20" s="74" customFormat="1" ht="16.5" x14ac:dyDescent="0.3">
      <c r="E44" s="77"/>
      <c r="J44" s="77"/>
      <c r="K44" s="77"/>
      <c r="L44" s="77"/>
      <c r="M44" s="77"/>
      <c r="N44" s="77"/>
      <c r="O44" s="77"/>
      <c r="P44" s="76"/>
      <c r="Q44" s="76"/>
      <c r="R44" s="76"/>
      <c r="S44" s="76"/>
      <c r="T44" s="80"/>
    </row>
    <row r="45" spans="1:20" s="74" customFormat="1" ht="16.5" x14ac:dyDescent="0.3">
      <c r="D45" s="351" t="s">
        <v>256</v>
      </c>
      <c r="E45" s="351"/>
      <c r="F45" s="351"/>
      <c r="J45" s="81"/>
      <c r="K45" s="351" t="s">
        <v>133</v>
      </c>
      <c r="L45" s="351"/>
      <c r="M45" s="351"/>
      <c r="N45" s="81"/>
      <c r="O45" s="81"/>
      <c r="P45" s="82"/>
      <c r="Q45" s="76"/>
      <c r="R45" s="76"/>
      <c r="S45" s="76"/>
      <c r="T45" s="80"/>
    </row>
    <row r="46" spans="1:20" s="74" customFormat="1" ht="16.5" x14ac:dyDescent="0.3">
      <c r="D46" s="352" t="s">
        <v>134</v>
      </c>
      <c r="E46" s="352"/>
      <c r="F46" s="352"/>
      <c r="J46" s="83"/>
      <c r="K46" s="352" t="s">
        <v>135</v>
      </c>
      <c r="L46" s="352"/>
      <c r="M46" s="352"/>
      <c r="N46" s="83"/>
      <c r="O46" s="83"/>
      <c r="P46" s="83"/>
      <c r="Q46" s="77"/>
      <c r="R46" s="77"/>
      <c r="S46" s="77"/>
    </row>
  </sheetData>
  <mergeCells count="12">
    <mergeCell ref="A6:C8"/>
    <mergeCell ref="D6:D8"/>
    <mergeCell ref="E6:M6"/>
    <mergeCell ref="N6:O8"/>
    <mergeCell ref="P6:Q8"/>
    <mergeCell ref="E7:H7"/>
    <mergeCell ref="I7:M7"/>
    <mergeCell ref="I40:Q40"/>
    <mergeCell ref="D45:F45"/>
    <mergeCell ref="K45:M45"/>
    <mergeCell ref="D46:F46"/>
    <mergeCell ref="K46:M46"/>
  </mergeCells>
  <printOptions horizontalCentered="1"/>
  <pageMargins left="0" right="0" top="0.75" bottom="0.75" header="0.3" footer="0.3"/>
  <pageSetup paperSize="9" scale="4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4"/>
  <sheetViews>
    <sheetView topLeftCell="B17" zoomScale="85" zoomScaleNormal="85" workbookViewId="0">
      <selection activeCell="E43" sqref="E43"/>
    </sheetView>
  </sheetViews>
  <sheetFormatPr defaultColWidth="9.140625" defaultRowHeight="15.75" x14ac:dyDescent="0.25"/>
  <cols>
    <col min="1" max="1" width="15.5703125" style="159" hidden="1" customWidth="1"/>
    <col min="2" max="2" width="2.28515625" style="159" customWidth="1"/>
    <col min="3" max="3" width="13.5703125" style="159" customWidth="1"/>
    <col min="4" max="4" width="54.28515625" style="159" customWidth="1"/>
    <col min="5" max="5" width="22.85546875" style="160" customWidth="1"/>
    <col min="6" max="6" width="24.5703125" style="159" customWidth="1"/>
    <col min="7" max="7" width="18.28515625" style="159" bestFit="1" customWidth="1"/>
    <col min="8" max="8" width="18.85546875" style="159" customWidth="1"/>
    <col min="9" max="9" width="16.28515625" style="159" customWidth="1"/>
    <col min="10" max="10" width="33.28515625" style="152" customWidth="1"/>
    <col min="11" max="11" width="15.5703125" style="159" customWidth="1"/>
    <col min="12" max="13" width="16.42578125" style="159" customWidth="1"/>
    <col min="14" max="14" width="19.42578125" style="159" customWidth="1"/>
    <col min="15" max="15" width="16.28515625" style="159" customWidth="1"/>
    <col min="16" max="16" width="17.140625" style="159" customWidth="1"/>
    <col min="17" max="17" width="13.42578125" style="159" bestFit="1" customWidth="1"/>
    <col min="18" max="19" width="14.42578125" style="159" bestFit="1" customWidth="1"/>
    <col min="20" max="20" width="13.85546875" style="159" bestFit="1" customWidth="1"/>
    <col min="21" max="16384" width="9.140625" style="159"/>
  </cols>
  <sheetData>
    <row r="1" spans="2:19" x14ac:dyDescent="0.25">
      <c r="B1" s="169" t="s">
        <v>211</v>
      </c>
    </row>
    <row r="2" spans="2:19" s="169" customFormat="1" x14ac:dyDescent="0.25">
      <c r="B2" s="169" t="s">
        <v>1</v>
      </c>
      <c r="E2" s="168"/>
      <c r="I2" s="170"/>
      <c r="J2" s="164"/>
    </row>
    <row r="3" spans="2:19" s="169" customFormat="1" x14ac:dyDescent="0.25">
      <c r="B3" s="169" t="s">
        <v>296</v>
      </c>
      <c r="E3" s="168"/>
      <c r="I3" s="170"/>
      <c r="J3" s="164"/>
    </row>
    <row r="4" spans="2:19" x14ac:dyDescent="0.25">
      <c r="B4" s="169" t="s">
        <v>212</v>
      </c>
      <c r="I4" s="171"/>
    </row>
    <row r="5" spans="2:19" x14ac:dyDescent="0.25">
      <c r="I5" s="171"/>
    </row>
    <row r="6" spans="2:19" s="169" customFormat="1" ht="16.5" customHeight="1" x14ac:dyDescent="0.25">
      <c r="B6" s="379" t="s">
        <v>3</v>
      </c>
      <c r="C6" s="379"/>
      <c r="D6" s="379"/>
      <c r="E6" s="380" t="s">
        <v>4</v>
      </c>
      <c r="F6" s="374" t="s">
        <v>5</v>
      </c>
      <c r="G6" s="374"/>
      <c r="H6" s="374"/>
      <c r="I6" s="374"/>
      <c r="J6" s="374"/>
      <c r="K6" s="374"/>
      <c r="L6" s="374"/>
      <c r="M6" s="374"/>
      <c r="N6" s="374"/>
      <c r="O6" s="365" t="s">
        <v>242</v>
      </c>
      <c r="P6" s="366"/>
    </row>
    <row r="7" spans="2:19" s="169" customFormat="1" x14ac:dyDescent="0.25">
      <c r="B7" s="379"/>
      <c r="C7" s="379"/>
      <c r="D7" s="379"/>
      <c r="E7" s="380"/>
      <c r="F7" s="371" t="s">
        <v>7</v>
      </c>
      <c r="G7" s="372"/>
      <c r="H7" s="372"/>
      <c r="I7" s="373"/>
      <c r="J7" s="374" t="s">
        <v>8</v>
      </c>
      <c r="K7" s="374"/>
      <c r="L7" s="374"/>
      <c r="M7" s="374"/>
      <c r="N7" s="374"/>
      <c r="O7" s="367"/>
      <c r="P7" s="368"/>
    </row>
    <row r="8" spans="2:19" s="235" customFormat="1" ht="31.5" x14ac:dyDescent="0.25">
      <c r="B8" s="379"/>
      <c r="C8" s="379"/>
      <c r="D8" s="379"/>
      <c r="E8" s="380"/>
      <c r="F8" s="234" t="s">
        <v>9</v>
      </c>
      <c r="G8" s="234" t="s">
        <v>10</v>
      </c>
      <c r="H8" s="234" t="s">
        <v>11</v>
      </c>
      <c r="I8" s="234" t="s">
        <v>12</v>
      </c>
      <c r="J8" s="234" t="s">
        <v>9</v>
      </c>
      <c r="K8" s="234" t="s">
        <v>10</v>
      </c>
      <c r="L8" s="234" t="s">
        <v>11</v>
      </c>
      <c r="M8" s="234" t="s">
        <v>13</v>
      </c>
      <c r="N8" s="234" t="s">
        <v>14</v>
      </c>
      <c r="O8" s="369"/>
      <c r="P8" s="370"/>
    </row>
    <row r="9" spans="2:19" x14ac:dyDescent="0.25">
      <c r="B9" s="375" t="s">
        <v>235</v>
      </c>
      <c r="C9" s="376"/>
      <c r="D9" s="377"/>
      <c r="E9" s="155">
        <v>6701497.0099999998</v>
      </c>
      <c r="F9" s="156"/>
      <c r="G9" s="156"/>
      <c r="H9" s="156"/>
      <c r="I9" s="156"/>
      <c r="J9" s="218"/>
      <c r="K9" s="156"/>
      <c r="L9" s="156"/>
      <c r="M9" s="156"/>
      <c r="N9" s="156"/>
      <c r="O9" s="156"/>
      <c r="P9" s="156"/>
    </row>
    <row r="10" spans="2:19" x14ac:dyDescent="0.25">
      <c r="B10" s="253"/>
      <c r="C10" s="254"/>
      <c r="D10" s="255"/>
      <c r="E10" s="155"/>
      <c r="F10" s="156"/>
      <c r="G10" s="156"/>
      <c r="H10" s="156"/>
      <c r="I10" s="156"/>
      <c r="J10" s="158"/>
      <c r="K10" s="155"/>
      <c r="L10" s="155"/>
      <c r="M10" s="155"/>
      <c r="N10" s="155"/>
      <c r="O10" s="155"/>
      <c r="P10" s="155"/>
      <c r="Q10" s="160"/>
      <c r="R10" s="160"/>
      <c r="S10" s="160"/>
    </row>
    <row r="11" spans="2:19" hidden="1" x14ac:dyDescent="0.25">
      <c r="B11" s="253"/>
      <c r="C11" s="254" t="s">
        <v>16</v>
      </c>
      <c r="D11" s="255"/>
      <c r="E11" s="155">
        <f>SUM(E12:E16)</f>
        <v>0</v>
      </c>
      <c r="F11" s="155"/>
      <c r="G11" s="155">
        <f>SUM(G12:G16)</f>
        <v>0</v>
      </c>
      <c r="H11" s="155">
        <f>SUM(H12:H16)</f>
        <v>0</v>
      </c>
      <c r="I11" s="155">
        <f>SUM(I12:I16)</f>
        <v>0</v>
      </c>
      <c r="J11" s="158"/>
      <c r="K11" s="155"/>
      <c r="L11" s="155"/>
      <c r="M11" s="155">
        <f>SUM(M13:M16)</f>
        <v>0</v>
      </c>
      <c r="N11" s="155">
        <f>SUM(N13:N16)</f>
        <v>0</v>
      </c>
      <c r="O11" s="155"/>
      <c r="P11" s="155"/>
      <c r="Q11" s="160"/>
      <c r="R11" s="160"/>
      <c r="S11" s="160"/>
    </row>
    <row r="12" spans="2:19" s="177" customFormat="1" hidden="1" x14ac:dyDescent="0.25">
      <c r="B12" s="172"/>
      <c r="C12" s="173"/>
      <c r="D12" s="174" t="s">
        <v>17</v>
      </c>
      <c r="E12" s="175"/>
      <c r="F12" s="175"/>
      <c r="G12" s="175"/>
      <c r="H12" s="175"/>
      <c r="I12" s="175"/>
      <c r="J12" s="219"/>
      <c r="K12" s="175"/>
      <c r="L12" s="175"/>
      <c r="M12" s="175"/>
      <c r="N12" s="175"/>
      <c r="O12" s="175"/>
      <c r="P12" s="175"/>
      <c r="Q12" s="176"/>
      <c r="R12" s="176"/>
      <c r="S12" s="176"/>
    </row>
    <row r="13" spans="2:19" ht="24" hidden="1" customHeight="1" x14ac:dyDescent="0.25">
      <c r="B13" s="253"/>
      <c r="C13" s="254"/>
      <c r="D13" s="255" t="s">
        <v>214</v>
      </c>
      <c r="E13" s="155"/>
      <c r="F13" s="155" t="s">
        <v>19</v>
      </c>
      <c r="G13" s="155"/>
      <c r="H13" s="155"/>
      <c r="I13" s="155"/>
      <c r="J13" s="158" t="s">
        <v>215</v>
      </c>
      <c r="K13" s="155"/>
      <c r="L13" s="155"/>
      <c r="M13" s="155"/>
      <c r="N13" s="155"/>
      <c r="O13" s="155"/>
      <c r="P13" s="155"/>
      <c r="Q13" s="160"/>
      <c r="R13" s="160"/>
      <c r="S13" s="160"/>
    </row>
    <row r="14" spans="2:19" ht="24" hidden="1" customHeight="1" x14ac:dyDescent="0.25">
      <c r="B14" s="253"/>
      <c r="C14" s="254"/>
      <c r="D14" s="255" t="s">
        <v>216</v>
      </c>
      <c r="E14" s="155"/>
      <c r="F14" s="155" t="s">
        <v>19</v>
      </c>
      <c r="G14" s="155"/>
      <c r="H14" s="155"/>
      <c r="I14" s="155"/>
      <c r="J14" s="158" t="s">
        <v>215</v>
      </c>
      <c r="K14" s="155"/>
      <c r="L14" s="155"/>
      <c r="M14" s="155"/>
      <c r="N14" s="155"/>
      <c r="O14" s="155"/>
      <c r="P14" s="155"/>
      <c r="Q14" s="160"/>
      <c r="R14" s="160"/>
      <c r="S14" s="160"/>
    </row>
    <row r="15" spans="2:19" s="177" customFormat="1" hidden="1" x14ac:dyDescent="0.25">
      <c r="B15" s="172"/>
      <c r="C15" s="173"/>
      <c r="D15" s="174" t="s">
        <v>181</v>
      </c>
      <c r="E15" s="175"/>
      <c r="F15" s="175"/>
      <c r="G15" s="175"/>
      <c r="H15" s="175"/>
      <c r="I15" s="175"/>
      <c r="J15" s="219"/>
      <c r="K15" s="175"/>
      <c r="L15" s="175"/>
      <c r="M15" s="175"/>
      <c r="N15" s="175"/>
      <c r="O15" s="175"/>
      <c r="P15" s="175"/>
      <c r="Q15" s="176"/>
      <c r="R15" s="176"/>
      <c r="S15" s="176"/>
    </row>
    <row r="16" spans="2:19" hidden="1" x14ac:dyDescent="0.25">
      <c r="B16" s="253"/>
      <c r="C16" s="254"/>
      <c r="D16" s="255" t="s">
        <v>217</v>
      </c>
      <c r="E16" s="155"/>
      <c r="F16" s="155" t="s">
        <v>19</v>
      </c>
      <c r="G16" s="155"/>
      <c r="H16" s="155"/>
      <c r="I16" s="155"/>
      <c r="J16" s="158" t="s">
        <v>215</v>
      </c>
      <c r="K16" s="155"/>
      <c r="L16" s="155"/>
      <c r="M16" s="155"/>
      <c r="N16" s="155"/>
      <c r="O16" s="155"/>
      <c r="P16" s="155"/>
      <c r="Q16" s="160"/>
      <c r="R16" s="160"/>
      <c r="S16" s="160"/>
    </row>
    <row r="17" spans="2:19" ht="27.75" customHeight="1" x14ac:dyDescent="0.25">
      <c r="B17" s="253"/>
      <c r="C17" s="251" t="s">
        <v>23</v>
      </c>
      <c r="D17" s="255"/>
      <c r="E17" s="155">
        <f>SUM(E19:E41)</f>
        <v>1865356.27</v>
      </c>
      <c r="F17" s="155"/>
      <c r="G17" s="155">
        <f>SUM(G21:G35)</f>
        <v>0</v>
      </c>
      <c r="H17" s="155"/>
      <c r="I17" s="155">
        <f>SUM(I19:I39)</f>
        <v>0</v>
      </c>
      <c r="J17" s="158"/>
      <c r="K17" s="155"/>
      <c r="L17" s="155"/>
      <c r="M17" s="155">
        <f>SUM(M19:M41)</f>
        <v>-291080.19999999995</v>
      </c>
      <c r="N17" s="155">
        <f>SUM(N19:N41)</f>
        <v>-2156436.4700000002</v>
      </c>
      <c r="O17" s="155"/>
      <c r="P17" s="155"/>
      <c r="Q17" s="160"/>
      <c r="R17" s="160"/>
      <c r="S17" s="160"/>
    </row>
    <row r="18" spans="2:19" ht="32.25" customHeight="1" x14ac:dyDescent="0.25">
      <c r="B18" s="253"/>
      <c r="C18" s="251" t="s">
        <v>244</v>
      </c>
      <c r="D18" s="178" t="s">
        <v>71</v>
      </c>
      <c r="E18" s="155"/>
      <c r="F18" s="155"/>
      <c r="G18" s="155"/>
      <c r="H18" s="155"/>
      <c r="I18" s="155"/>
      <c r="J18" s="158"/>
      <c r="K18" s="155"/>
      <c r="L18" s="155"/>
      <c r="M18" s="155"/>
      <c r="N18" s="155"/>
      <c r="O18" s="155"/>
      <c r="P18" s="155"/>
      <c r="Q18" s="160"/>
      <c r="R18" s="160"/>
      <c r="S18" s="160"/>
    </row>
    <row r="19" spans="2:19" ht="32.25" customHeight="1" x14ac:dyDescent="0.25">
      <c r="B19" s="253"/>
      <c r="C19" s="254"/>
      <c r="D19" s="255" t="s">
        <v>218</v>
      </c>
      <c r="E19" s="155"/>
      <c r="F19" s="155" t="s">
        <v>219</v>
      </c>
      <c r="G19" s="155"/>
      <c r="H19" s="155"/>
      <c r="I19" s="155">
        <f>H19</f>
        <v>0</v>
      </c>
      <c r="J19" s="220" t="s">
        <v>220</v>
      </c>
      <c r="K19" s="155"/>
      <c r="L19" s="155"/>
      <c r="M19" s="155"/>
      <c r="N19" s="155"/>
      <c r="O19" s="155"/>
      <c r="P19" s="155"/>
      <c r="Q19" s="160"/>
      <c r="R19" s="160"/>
      <c r="S19" s="160"/>
    </row>
    <row r="20" spans="2:19" s="177" customFormat="1" ht="32.25" customHeight="1" x14ac:dyDescent="0.25">
      <c r="B20" s="172"/>
      <c r="C20" s="173"/>
      <c r="D20" s="178" t="s">
        <v>24</v>
      </c>
      <c r="E20" s="175"/>
      <c r="F20" s="175"/>
      <c r="G20" s="175"/>
      <c r="H20" s="175"/>
      <c r="I20" s="175"/>
      <c r="J20" s="219"/>
      <c r="K20" s="175"/>
      <c r="L20" s="175"/>
      <c r="M20" s="175"/>
      <c r="N20" s="175"/>
      <c r="O20" s="175"/>
      <c r="P20" s="175"/>
      <c r="Q20" s="176"/>
      <c r="R20" s="176"/>
      <c r="S20" s="176"/>
    </row>
    <row r="21" spans="2:19" x14ac:dyDescent="0.25">
      <c r="B21" s="253"/>
      <c r="C21" s="254"/>
      <c r="D21" s="255" t="s">
        <v>53</v>
      </c>
      <c r="E21" s="155">
        <f>-'[17]FC7 TF JEV'!$H$167</f>
        <v>-900</v>
      </c>
      <c r="F21" s="255"/>
      <c r="G21" s="155"/>
      <c r="H21" s="155"/>
      <c r="I21" s="155"/>
      <c r="J21" s="158" t="s">
        <v>237</v>
      </c>
      <c r="K21" s="155"/>
      <c r="L21" s="167">
        <v>900</v>
      </c>
      <c r="M21" s="155"/>
      <c r="N21" s="155">
        <v>900</v>
      </c>
      <c r="O21" s="155">
        <v>-900</v>
      </c>
      <c r="P21" s="155"/>
      <c r="Q21" s="160"/>
      <c r="R21" s="160"/>
      <c r="S21" s="160"/>
    </row>
    <row r="22" spans="2:19" ht="32.25" hidden="1" customHeight="1" x14ac:dyDescent="0.25">
      <c r="B22" s="253"/>
      <c r="C22" s="254"/>
      <c r="D22" s="255" t="s">
        <v>74</v>
      </c>
      <c r="E22" s="155"/>
      <c r="F22" s="255" t="s">
        <v>219</v>
      </c>
      <c r="G22" s="155">
        <f>E22</f>
        <v>0</v>
      </c>
      <c r="H22" s="155"/>
      <c r="I22" s="155">
        <f>G22</f>
        <v>0</v>
      </c>
      <c r="J22" s="158" t="s">
        <v>221</v>
      </c>
      <c r="K22" s="155"/>
      <c r="L22" s="155"/>
      <c r="M22" s="155"/>
      <c r="N22" s="155"/>
      <c r="O22" s="155"/>
      <c r="P22" s="155"/>
      <c r="Q22" s="160"/>
      <c r="R22" s="160" t="s">
        <v>222</v>
      </c>
      <c r="S22" s="160"/>
    </row>
    <row r="23" spans="2:19" ht="30.75" hidden="1" customHeight="1" x14ac:dyDescent="0.25">
      <c r="B23" s="253"/>
      <c r="C23" s="254"/>
      <c r="D23" s="178" t="s">
        <v>71</v>
      </c>
      <c r="E23" s="155"/>
      <c r="F23" s="255" t="s">
        <v>34</v>
      </c>
      <c r="G23" s="155"/>
      <c r="H23" s="155"/>
      <c r="I23" s="155"/>
      <c r="J23" s="158" t="s">
        <v>223</v>
      </c>
      <c r="K23" s="155"/>
      <c r="L23" s="155"/>
      <c r="M23" s="155"/>
      <c r="N23" s="155"/>
      <c r="O23" s="155"/>
      <c r="P23" s="155"/>
      <c r="Q23" s="160"/>
      <c r="R23" s="160"/>
      <c r="S23" s="160"/>
    </row>
    <row r="24" spans="2:19" x14ac:dyDescent="0.25">
      <c r="B24" s="253"/>
      <c r="C24" s="254"/>
      <c r="D24" s="255" t="s">
        <v>53</v>
      </c>
      <c r="E24" s="155">
        <v>3380.48</v>
      </c>
      <c r="F24" s="179"/>
      <c r="G24" s="157"/>
      <c r="H24" s="155"/>
      <c r="I24" s="155"/>
      <c r="J24" s="158" t="s">
        <v>275</v>
      </c>
      <c r="K24" s="167">
        <v>3380.48</v>
      </c>
      <c r="L24" s="155"/>
      <c r="M24" s="155"/>
      <c r="N24" s="155">
        <f>K24*-1</f>
        <v>-3380.48</v>
      </c>
      <c r="O24" s="155">
        <v>3380.48</v>
      </c>
      <c r="P24" s="155"/>
      <c r="Q24" s="160"/>
      <c r="R24" s="160"/>
      <c r="S24" s="160"/>
    </row>
    <row r="25" spans="2:19" ht="32.25" customHeight="1" x14ac:dyDescent="0.25">
      <c r="B25" s="306"/>
      <c r="C25" s="307"/>
      <c r="D25" s="180" t="s">
        <v>47</v>
      </c>
      <c r="E25" s="167">
        <v>-12500</v>
      </c>
      <c r="F25" s="309"/>
      <c r="G25" s="181"/>
      <c r="H25" s="155"/>
      <c r="I25" s="155"/>
      <c r="J25" s="158" t="s">
        <v>47</v>
      </c>
      <c r="K25" s="155"/>
      <c r="L25" s="155">
        <v>12500</v>
      </c>
      <c r="M25" s="155">
        <f>L25*-1</f>
        <v>-12500</v>
      </c>
      <c r="N25" s="155"/>
      <c r="O25" s="155">
        <v>-12500</v>
      </c>
      <c r="P25" s="155"/>
      <c r="Q25" s="160"/>
      <c r="R25" s="160"/>
      <c r="S25" s="160"/>
    </row>
    <row r="26" spans="2:19" ht="31.5" x14ac:dyDescent="0.25">
      <c r="B26" s="306"/>
      <c r="C26" s="307"/>
      <c r="D26" s="308" t="s">
        <v>297</v>
      </c>
      <c r="E26" s="167">
        <v>-3500</v>
      </c>
      <c r="F26" s="218"/>
      <c r="G26" s="157"/>
      <c r="H26" s="155"/>
      <c r="I26" s="155"/>
      <c r="J26" s="158" t="s">
        <v>297</v>
      </c>
      <c r="K26" s="155"/>
      <c r="L26" s="155">
        <v>3500</v>
      </c>
      <c r="M26" s="155">
        <f>L26*-1</f>
        <v>-3500</v>
      </c>
      <c r="N26" s="155"/>
      <c r="O26" s="155">
        <v>-3500</v>
      </c>
      <c r="P26" s="155"/>
      <c r="Q26" s="160"/>
      <c r="R26" s="160"/>
      <c r="S26" s="160"/>
    </row>
    <row r="27" spans="2:19" s="177" customFormat="1" ht="31.5" x14ac:dyDescent="0.25">
      <c r="B27" s="172"/>
      <c r="C27" s="173"/>
      <c r="D27" s="308" t="s">
        <v>265</v>
      </c>
      <c r="E27" s="167">
        <v>-12985</v>
      </c>
      <c r="F27" s="219"/>
      <c r="G27" s="182"/>
      <c r="H27" s="175"/>
      <c r="I27" s="155"/>
      <c r="J27" s="158" t="s">
        <v>265</v>
      </c>
      <c r="K27" s="155"/>
      <c r="L27" s="175">
        <v>12985</v>
      </c>
      <c r="M27" s="155">
        <f>L27*-1</f>
        <v>-12985</v>
      </c>
      <c r="N27" s="155"/>
      <c r="O27" s="155">
        <v>-12985</v>
      </c>
      <c r="P27" s="175"/>
      <c r="Q27" s="176"/>
      <c r="R27" s="176"/>
      <c r="S27" s="176"/>
    </row>
    <row r="28" spans="2:19" x14ac:dyDescent="0.25">
      <c r="B28" s="306"/>
      <c r="C28" s="307"/>
      <c r="D28" s="308" t="s">
        <v>32</v>
      </c>
      <c r="E28" s="167">
        <v>-136889.79999999999</v>
      </c>
      <c r="F28" s="218"/>
      <c r="G28" s="157"/>
      <c r="H28" s="155"/>
      <c r="I28" s="155"/>
      <c r="J28" s="158" t="s">
        <v>32</v>
      </c>
      <c r="K28" s="155"/>
      <c r="L28" s="155">
        <v>136889.79999999999</v>
      </c>
      <c r="M28" s="155">
        <f>L28*-1</f>
        <v>-136889.79999999999</v>
      </c>
      <c r="N28" s="155"/>
      <c r="O28" s="155">
        <v>-136889.79999999999</v>
      </c>
      <c r="P28" s="155"/>
      <c r="Q28" s="160"/>
      <c r="R28" s="160"/>
      <c r="S28" s="160"/>
    </row>
    <row r="29" spans="2:19" x14ac:dyDescent="0.25">
      <c r="B29" s="306"/>
      <c r="C29" s="307"/>
      <c r="D29" s="307" t="s">
        <v>298</v>
      </c>
      <c r="E29" s="167">
        <v>-125205.4</v>
      </c>
      <c r="F29" s="218"/>
      <c r="G29" s="157"/>
      <c r="H29" s="155"/>
      <c r="I29" s="155"/>
      <c r="J29" s="158" t="s">
        <v>298</v>
      </c>
      <c r="K29" s="155"/>
      <c r="L29" s="155">
        <v>125205.4</v>
      </c>
      <c r="M29" s="155">
        <f>L29*-1</f>
        <v>-125205.4</v>
      </c>
      <c r="N29" s="155"/>
      <c r="O29" s="155">
        <v>-125205.4</v>
      </c>
      <c r="P29" s="155"/>
      <c r="Q29" s="160"/>
      <c r="R29" s="160"/>
      <c r="S29" s="160"/>
    </row>
    <row r="30" spans="2:19" s="177" customFormat="1" ht="32.25" customHeight="1" x14ac:dyDescent="0.25">
      <c r="B30" s="172"/>
      <c r="C30" s="173"/>
      <c r="D30" s="251" t="s">
        <v>227</v>
      </c>
      <c r="E30" s="175"/>
      <c r="F30" s="175"/>
      <c r="G30" s="175"/>
      <c r="H30" s="175"/>
      <c r="I30" s="175"/>
      <c r="J30" s="219"/>
      <c r="K30" s="175"/>
      <c r="L30" s="175"/>
      <c r="M30" s="175"/>
      <c r="N30" s="175"/>
      <c r="O30" s="175"/>
      <c r="P30" s="175"/>
      <c r="Q30" s="176"/>
      <c r="R30" s="176"/>
      <c r="S30" s="176"/>
    </row>
    <row r="31" spans="2:19" x14ac:dyDescent="0.25">
      <c r="B31" s="253"/>
      <c r="C31" s="254"/>
      <c r="D31" s="255" t="s">
        <v>300</v>
      </c>
      <c r="E31" s="155"/>
      <c r="F31" s="155"/>
      <c r="G31" s="155"/>
      <c r="H31" s="155"/>
      <c r="I31" s="155">
        <f>H31</f>
        <v>0</v>
      </c>
      <c r="J31" s="158"/>
      <c r="K31" s="155"/>
      <c r="L31" s="155"/>
      <c r="M31" s="155"/>
      <c r="N31" s="155"/>
      <c r="O31" s="155"/>
      <c r="P31" s="155"/>
      <c r="Q31" s="160"/>
      <c r="R31" s="160"/>
      <c r="S31" s="160"/>
    </row>
    <row r="32" spans="2:19" ht="32.25" customHeight="1" x14ac:dyDescent="0.25">
      <c r="B32" s="253"/>
      <c r="C32" s="254"/>
      <c r="D32" s="255" t="s">
        <v>230</v>
      </c>
      <c r="E32" s="155">
        <f>35948.96+1723.02</f>
        <v>37671.979999999996</v>
      </c>
      <c r="F32" s="155"/>
      <c r="G32" s="155"/>
      <c r="H32" s="155"/>
      <c r="I32" s="155">
        <f>G32*-1</f>
        <v>0</v>
      </c>
      <c r="J32" s="158" t="s">
        <v>229</v>
      </c>
      <c r="K32" s="167">
        <f>E32</f>
        <v>37671.979999999996</v>
      </c>
      <c r="L32" s="155"/>
      <c r="M32" s="155"/>
      <c r="N32" s="155">
        <f>K32*-1</f>
        <v>-37671.979999999996</v>
      </c>
      <c r="O32" s="155">
        <f>E32</f>
        <v>37671.979999999996</v>
      </c>
      <c r="P32" s="155"/>
      <c r="Q32" s="160"/>
      <c r="R32" s="160"/>
      <c r="S32" s="160"/>
    </row>
    <row r="33" spans="2:19" hidden="1" x14ac:dyDescent="0.25">
      <c r="B33" s="253"/>
      <c r="C33" s="254"/>
      <c r="D33" s="255" t="s">
        <v>96</v>
      </c>
      <c r="E33" s="155"/>
      <c r="F33" s="155"/>
      <c r="G33" s="155"/>
      <c r="H33" s="155"/>
      <c r="I33" s="155">
        <f>G33*-1</f>
        <v>0</v>
      </c>
      <c r="J33" s="158" t="s">
        <v>97</v>
      </c>
      <c r="K33" s="155"/>
      <c r="L33" s="155"/>
      <c r="M33" s="155"/>
      <c r="N33" s="155">
        <f>L33</f>
        <v>0</v>
      </c>
      <c r="O33" s="155"/>
      <c r="P33" s="155"/>
      <c r="Q33" s="160"/>
      <c r="R33" s="160"/>
      <c r="S33" s="160"/>
    </row>
    <row r="34" spans="2:19" hidden="1" x14ac:dyDescent="0.25">
      <c r="B34" s="253"/>
      <c r="C34" s="254"/>
      <c r="D34" s="255" t="s">
        <v>231</v>
      </c>
      <c r="E34" s="155"/>
      <c r="F34" s="155"/>
      <c r="G34" s="155"/>
      <c r="H34" s="155"/>
      <c r="I34" s="155"/>
      <c r="J34" s="158" t="s">
        <v>91</v>
      </c>
      <c r="K34" s="155"/>
      <c r="L34" s="155"/>
      <c r="M34" s="155"/>
      <c r="N34" s="155"/>
      <c r="O34" s="155"/>
      <c r="P34" s="155"/>
      <c r="Q34" s="160"/>
      <c r="R34" s="160"/>
      <c r="S34" s="160"/>
    </row>
    <row r="35" spans="2:19" x14ac:dyDescent="0.25">
      <c r="B35" s="253"/>
      <c r="C35" s="254"/>
      <c r="D35" s="251" t="s">
        <v>248</v>
      </c>
      <c r="E35" s="155"/>
      <c r="F35" s="155"/>
      <c r="G35" s="155"/>
      <c r="H35" s="155"/>
      <c r="I35" s="155"/>
      <c r="J35" s="158"/>
      <c r="K35" s="155"/>
      <c r="L35" s="155"/>
      <c r="M35" s="155"/>
      <c r="N35" s="155"/>
      <c r="O35" s="155"/>
      <c r="P35" s="155"/>
      <c r="Q35" s="160"/>
      <c r="R35" s="160"/>
      <c r="S35" s="160"/>
    </row>
    <row r="36" spans="2:19" x14ac:dyDescent="0.25">
      <c r="B36" s="253"/>
      <c r="C36" s="254"/>
      <c r="D36" s="255" t="s">
        <v>249</v>
      </c>
      <c r="E36" s="155">
        <f>'[17]FC7 TF JEV'!$I$145</f>
        <v>4200</v>
      </c>
      <c r="F36" s="155"/>
      <c r="G36" s="155"/>
      <c r="H36" s="155"/>
      <c r="I36" s="155"/>
      <c r="J36" s="158" t="s">
        <v>237</v>
      </c>
      <c r="K36" s="167">
        <f>E36</f>
        <v>4200</v>
      </c>
      <c r="L36" s="155"/>
      <c r="M36" s="155"/>
      <c r="N36" s="155">
        <f>-K36</f>
        <v>-4200</v>
      </c>
      <c r="O36" s="155">
        <f>E36</f>
        <v>4200</v>
      </c>
      <c r="P36" s="155"/>
      <c r="Q36" s="160"/>
      <c r="R36" s="160"/>
      <c r="S36" s="160"/>
    </row>
    <row r="37" spans="2:19" ht="31.5" x14ac:dyDescent="0.25">
      <c r="B37" s="253"/>
      <c r="C37" s="254"/>
      <c r="D37" s="255" t="s">
        <v>255</v>
      </c>
      <c r="E37" s="155">
        <f>-47023.2+45300</f>
        <v>-1723.1999999999971</v>
      </c>
      <c r="F37" s="155"/>
      <c r="G37" s="155"/>
      <c r="H37" s="155"/>
      <c r="I37" s="155"/>
      <c r="J37" s="158" t="s">
        <v>220</v>
      </c>
      <c r="K37" s="155"/>
      <c r="L37" s="167">
        <v>1723.2</v>
      </c>
      <c r="M37" s="155"/>
      <c r="N37" s="155">
        <f>L37</f>
        <v>1723.2</v>
      </c>
      <c r="O37" s="155">
        <f>E37</f>
        <v>-1723.1999999999971</v>
      </c>
      <c r="P37" s="155"/>
      <c r="Q37" s="160"/>
      <c r="R37" s="160"/>
      <c r="S37" s="160"/>
    </row>
    <row r="38" spans="2:19" ht="24.75" customHeight="1" x14ac:dyDescent="0.25">
      <c r="B38" s="253"/>
      <c r="C38" s="254"/>
      <c r="D38" s="255" t="s">
        <v>276</v>
      </c>
      <c r="E38" s="155">
        <v>-600</v>
      </c>
      <c r="F38" s="155"/>
      <c r="G38" s="155"/>
      <c r="H38" s="155"/>
      <c r="I38" s="155"/>
      <c r="J38" s="158" t="s">
        <v>237</v>
      </c>
      <c r="K38" s="167">
        <v>600</v>
      </c>
      <c r="L38" s="155"/>
      <c r="M38" s="155"/>
      <c r="N38" s="155">
        <f>-K38</f>
        <v>-600</v>
      </c>
      <c r="O38" s="155">
        <f>E38</f>
        <v>-600</v>
      </c>
      <c r="P38" s="155"/>
      <c r="Q38" s="160"/>
      <c r="R38" s="160"/>
      <c r="S38" s="160"/>
    </row>
    <row r="39" spans="2:19" ht="25.5" customHeight="1" x14ac:dyDescent="0.25">
      <c r="B39" s="253"/>
      <c r="C39" s="254"/>
      <c r="D39" s="255" t="s">
        <v>276</v>
      </c>
      <c r="E39" s="155">
        <v>600</v>
      </c>
      <c r="F39" s="155"/>
      <c r="G39" s="155"/>
      <c r="H39" s="155"/>
      <c r="I39" s="155"/>
      <c r="J39" s="158" t="s">
        <v>275</v>
      </c>
      <c r="K39" s="155"/>
      <c r="L39" s="167">
        <v>600</v>
      </c>
      <c r="M39" s="155"/>
      <c r="N39" s="155">
        <f>L39</f>
        <v>600</v>
      </c>
      <c r="O39" s="155">
        <f>E39</f>
        <v>600</v>
      </c>
      <c r="P39" s="155"/>
      <c r="Q39" s="160"/>
      <c r="R39" s="160"/>
      <c r="S39" s="160"/>
    </row>
    <row r="40" spans="2:19" ht="25.5" customHeight="1" x14ac:dyDescent="0.25">
      <c r="B40" s="253"/>
      <c r="C40" s="254"/>
      <c r="D40" s="255" t="s">
        <v>290</v>
      </c>
      <c r="E40" s="155">
        <v>14217.17</v>
      </c>
      <c r="F40" s="155"/>
      <c r="G40" s="155"/>
      <c r="H40" s="155"/>
      <c r="I40" s="155"/>
      <c r="J40" s="158" t="s">
        <v>53</v>
      </c>
      <c r="K40" s="155">
        <f>E40</f>
        <v>14217.17</v>
      </c>
      <c r="L40" s="167"/>
      <c r="M40" s="155"/>
      <c r="N40" s="155">
        <v>-14217.17</v>
      </c>
      <c r="O40" s="155">
        <f>E40</f>
        <v>14217.17</v>
      </c>
      <c r="P40" s="155"/>
      <c r="Q40" s="160"/>
      <c r="R40" s="160"/>
      <c r="S40" s="160"/>
    </row>
    <row r="41" spans="2:19" ht="25.5" customHeight="1" x14ac:dyDescent="0.25">
      <c r="B41" s="306"/>
      <c r="C41" s="307"/>
      <c r="D41" s="308" t="s">
        <v>332</v>
      </c>
      <c r="E41" s="155">
        <v>2099590.04</v>
      </c>
      <c r="F41" s="155"/>
      <c r="G41" s="155"/>
      <c r="H41" s="155"/>
      <c r="I41" s="155"/>
      <c r="J41" s="158" t="s">
        <v>333</v>
      </c>
      <c r="K41" s="155">
        <f>E41</f>
        <v>2099590.04</v>
      </c>
      <c r="L41" s="167"/>
      <c r="M41" s="155"/>
      <c r="N41" s="155">
        <f>K41*-1</f>
        <v>-2099590.04</v>
      </c>
      <c r="O41" s="155">
        <f t="shared" ref="O41" si="0">E41</f>
        <v>2099590.04</v>
      </c>
      <c r="P41" s="155"/>
      <c r="Q41" s="160"/>
      <c r="R41" s="160"/>
      <c r="S41" s="160"/>
    </row>
    <row r="42" spans="2:19" s="169" customFormat="1" ht="32.25" customHeight="1" x14ac:dyDescent="0.25">
      <c r="B42" s="130" t="s">
        <v>301</v>
      </c>
      <c r="C42" s="251"/>
      <c r="D42" s="252"/>
      <c r="E42" s="167">
        <f>E9+E11+E17</f>
        <v>8566853.2799999993</v>
      </c>
      <c r="F42" s="167">
        <f>SUM(F9:F31)</f>
        <v>0</v>
      </c>
      <c r="G42" s="167"/>
      <c r="H42" s="167"/>
      <c r="I42" s="167">
        <f>SUM(I17+I11)</f>
        <v>0</v>
      </c>
      <c r="J42" s="256">
        <f>SUM(J9:J31)</f>
        <v>0</v>
      </c>
      <c r="K42" s="167"/>
      <c r="L42" s="167"/>
      <c r="M42" s="167">
        <f>M17+M11</f>
        <v>-291080.19999999995</v>
      </c>
      <c r="N42" s="167">
        <f>N17+N11</f>
        <v>-2156436.4700000002</v>
      </c>
      <c r="O42" s="167">
        <f>SUM(O9:O41)</f>
        <v>1865356.27</v>
      </c>
      <c r="P42" s="167">
        <f>SUM(P9:P31)</f>
        <v>0</v>
      </c>
      <c r="Q42" s="168"/>
      <c r="R42" s="168"/>
      <c r="S42" s="168"/>
    </row>
    <row r="43" spans="2:19" x14ac:dyDescent="0.25">
      <c r="B43" s="177"/>
      <c r="E43" s="160">
        <f>E42-[30]FC1SGE!$J$15</f>
        <v>0</v>
      </c>
      <c r="F43" s="184"/>
      <c r="I43" s="171">
        <f>G42-H42</f>
        <v>0</v>
      </c>
      <c r="J43" s="221"/>
      <c r="K43" s="160"/>
      <c r="L43" s="160"/>
      <c r="M43" s="160"/>
      <c r="N43" s="160"/>
      <c r="O43" s="160"/>
      <c r="P43" s="160"/>
      <c r="Q43" s="160"/>
      <c r="R43" s="160"/>
      <c r="S43" s="160"/>
    </row>
    <row r="44" spans="2:19" ht="24" customHeight="1" x14ac:dyDescent="0.25">
      <c r="B44" s="177"/>
      <c r="D44" s="159" t="s">
        <v>117</v>
      </c>
      <c r="G44" s="240"/>
      <c r="I44" s="171"/>
      <c r="J44" s="152" t="s">
        <v>119</v>
      </c>
      <c r="K44" s="160"/>
      <c r="L44" s="160"/>
      <c r="M44" s="160"/>
      <c r="N44" s="171"/>
      <c r="O44" s="159" t="s">
        <v>120</v>
      </c>
      <c r="P44" s="160"/>
      <c r="Q44" s="160"/>
      <c r="R44" s="160"/>
      <c r="S44" s="160"/>
    </row>
    <row r="45" spans="2:19" ht="24" customHeight="1" x14ac:dyDescent="0.25">
      <c r="D45" s="152" t="s">
        <v>121</v>
      </c>
      <c r="E45" s="160">
        <f>E42</f>
        <v>8566853.2799999993</v>
      </c>
      <c r="I45" s="171"/>
      <c r="J45" s="221"/>
      <c r="K45" s="160" t="s">
        <v>122</v>
      </c>
      <c r="M45" s="160">
        <f>M42</f>
        <v>-291080.19999999995</v>
      </c>
      <c r="N45" s="160"/>
      <c r="O45" s="160"/>
      <c r="P45" s="160"/>
      <c r="Q45" s="160"/>
      <c r="R45" s="160"/>
      <c r="S45" s="160"/>
    </row>
    <row r="46" spans="2:19" ht="24" customHeight="1" x14ac:dyDescent="0.25">
      <c r="D46" s="152" t="s">
        <v>123</v>
      </c>
      <c r="E46" s="185">
        <f>E9</f>
        <v>6701497.0099999998</v>
      </c>
      <c r="J46" s="221"/>
      <c r="K46" s="160" t="s">
        <v>124</v>
      </c>
      <c r="M46" s="185">
        <f>N42</f>
        <v>-2156436.4700000002</v>
      </c>
      <c r="N46" s="160"/>
      <c r="O46" s="160"/>
      <c r="P46" s="160"/>
      <c r="Q46" s="160"/>
      <c r="R46" s="160"/>
      <c r="S46" s="160"/>
    </row>
    <row r="47" spans="2:19" ht="24" customHeight="1" x14ac:dyDescent="0.25">
      <c r="D47" s="152" t="s">
        <v>125</v>
      </c>
      <c r="E47" s="168">
        <f>+E45-E46</f>
        <v>1865356.2699999996</v>
      </c>
      <c r="I47" s="170"/>
      <c r="J47" s="221"/>
      <c r="K47" s="160" t="s">
        <v>127</v>
      </c>
      <c r="M47" s="168">
        <f>M45-M46</f>
        <v>1865356.2700000003</v>
      </c>
      <c r="N47" s="160"/>
      <c r="O47" s="160" t="s">
        <v>127</v>
      </c>
      <c r="P47" s="168">
        <f>O42</f>
        <v>1865356.27</v>
      </c>
      <c r="Q47" s="160"/>
      <c r="R47" s="160"/>
      <c r="S47" s="160"/>
    </row>
    <row r="48" spans="2:19" x14ac:dyDescent="0.25">
      <c r="G48" s="160"/>
      <c r="I48" s="171"/>
      <c r="J48" s="221"/>
      <c r="K48" s="160" t="s">
        <v>128</v>
      </c>
      <c r="L48" s="160"/>
      <c r="M48" s="160"/>
      <c r="N48" s="168">
        <f>M45-M46</f>
        <v>1865356.2700000003</v>
      </c>
      <c r="O48" s="160"/>
      <c r="P48" s="160"/>
      <c r="Q48" s="160"/>
      <c r="R48" s="160"/>
      <c r="S48" s="160"/>
    </row>
    <row r="49" spans="4:20" x14ac:dyDescent="0.25">
      <c r="D49" s="171"/>
      <c r="E49" s="186"/>
      <c r="G49" s="160"/>
      <c r="J49" s="221"/>
      <c r="K49" s="160"/>
      <c r="L49" s="160"/>
      <c r="M49" s="160"/>
      <c r="N49" s="160">
        <f>N48-E47</f>
        <v>0</v>
      </c>
      <c r="O49" s="160"/>
      <c r="P49" s="187"/>
      <c r="Q49" s="187"/>
      <c r="R49" s="187" t="s">
        <v>129</v>
      </c>
      <c r="S49" s="187" t="s">
        <v>130</v>
      </c>
      <c r="T49" s="188" t="s">
        <v>232</v>
      </c>
    </row>
    <row r="50" spans="4:20" x14ac:dyDescent="0.25">
      <c r="E50" s="189"/>
      <c r="G50" s="160"/>
      <c r="J50" s="221"/>
      <c r="K50" s="160"/>
      <c r="L50" s="160"/>
      <c r="M50" s="160"/>
      <c r="N50" s="160"/>
      <c r="O50" s="160"/>
      <c r="P50" s="187" t="s">
        <v>233</v>
      </c>
      <c r="Q50" s="187">
        <f>-4074405.47</f>
        <v>-4074405.47</v>
      </c>
      <c r="R50" s="188"/>
      <c r="S50" s="187"/>
      <c r="T50" s="188"/>
    </row>
    <row r="51" spans="4:20" x14ac:dyDescent="0.25">
      <c r="D51" s="159" t="s">
        <v>131</v>
      </c>
      <c r="G51" s="170"/>
      <c r="J51" s="221"/>
      <c r="K51" s="160" t="s">
        <v>132</v>
      </c>
      <c r="L51" s="160"/>
      <c r="M51" s="160"/>
      <c r="N51" s="160"/>
      <c r="O51" s="160"/>
      <c r="P51" s="187" t="s">
        <v>202</v>
      </c>
      <c r="Q51" s="187">
        <f>22029704.73-16100096.25</f>
        <v>5929608.4800000004</v>
      </c>
      <c r="R51" s="187">
        <v>-16100096.25</v>
      </c>
      <c r="S51" s="187">
        <v>0</v>
      </c>
      <c r="T51" s="187">
        <v>22029704.73</v>
      </c>
    </row>
    <row r="52" spans="4:20" x14ac:dyDescent="0.25">
      <c r="J52" s="221"/>
      <c r="K52" s="160"/>
      <c r="L52" s="160"/>
      <c r="M52" s="160"/>
      <c r="N52" s="160"/>
      <c r="O52" s="160"/>
      <c r="P52" s="187" t="s">
        <v>203</v>
      </c>
      <c r="Q52" s="187">
        <f>SUM(Q50:Q51)</f>
        <v>1855203.0100000002</v>
      </c>
      <c r="R52" s="187">
        <f>Q50+R51</f>
        <v>-20174501.719999999</v>
      </c>
      <c r="S52" s="187">
        <f>R52+S51</f>
        <v>-20174501.719999999</v>
      </c>
      <c r="T52" s="190">
        <f>S52+T51</f>
        <v>1855203.0100000016</v>
      </c>
    </row>
    <row r="53" spans="4:20" x14ac:dyDescent="0.25">
      <c r="J53" s="221"/>
      <c r="K53" s="160"/>
      <c r="L53" s="160"/>
      <c r="M53" s="160"/>
      <c r="N53" s="160"/>
      <c r="O53" s="160"/>
      <c r="P53" s="187"/>
      <c r="Q53" s="187"/>
      <c r="R53" s="187"/>
      <c r="S53" s="187"/>
      <c r="T53" s="188"/>
    </row>
    <row r="54" spans="4:20" ht="16.5" x14ac:dyDescent="0.25">
      <c r="D54" s="194" t="s">
        <v>256</v>
      </c>
      <c r="E54" s="191"/>
      <c r="F54" s="191"/>
      <c r="J54" s="222"/>
      <c r="K54" s="378" t="s">
        <v>133</v>
      </c>
      <c r="L54" s="378"/>
      <c r="M54" s="378"/>
      <c r="N54" s="192"/>
      <c r="O54" s="192"/>
      <c r="P54" s="193"/>
      <c r="Q54" s="187"/>
      <c r="R54" s="187"/>
      <c r="S54" s="187"/>
      <c r="T54" s="188"/>
    </row>
    <row r="55" spans="4:20" x14ac:dyDescent="0.25">
      <c r="D55" s="162" t="s">
        <v>134</v>
      </c>
      <c r="E55" s="162"/>
      <c r="F55" s="162"/>
      <c r="J55" s="221"/>
      <c r="K55" s="162" t="s">
        <v>135</v>
      </c>
      <c r="L55" s="162"/>
      <c r="M55" s="162"/>
      <c r="N55" s="160"/>
      <c r="O55" s="160"/>
      <c r="P55" s="160"/>
      <c r="Q55" s="160"/>
      <c r="R55" s="160"/>
      <c r="S55" s="160"/>
    </row>
    <row r="62" spans="4:20" x14ac:dyDescent="0.25">
      <c r="E62" s="159"/>
      <c r="J62" s="221"/>
    </row>
    <row r="63" spans="4:20" x14ac:dyDescent="0.25">
      <c r="E63" s="159"/>
      <c r="J63" s="221"/>
    </row>
    <row r="64" spans="4:20" x14ac:dyDescent="0.25">
      <c r="E64" s="159"/>
      <c r="J64" s="221"/>
    </row>
  </sheetData>
  <mergeCells count="8">
    <mergeCell ref="O6:P8"/>
    <mergeCell ref="F7:I7"/>
    <mergeCell ref="J7:N7"/>
    <mergeCell ref="B9:D9"/>
    <mergeCell ref="K54:M54"/>
    <mergeCell ref="B6:D8"/>
    <mergeCell ref="E6:E8"/>
    <mergeCell ref="F6:N6"/>
  </mergeCells>
  <pageMargins left="0.59055118110236227" right="0.59055118110236227" top="0.74803149606299213" bottom="0.74803149606299213" header="0.31496062992125984" footer="0.31496062992125984"/>
  <pageSetup paperSize="9" scale="42" fitToHeight="0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0"/>
  <sheetViews>
    <sheetView topLeftCell="B1" zoomScale="85" zoomScaleNormal="85" workbookViewId="0">
      <selection activeCell="E21" sqref="E21"/>
    </sheetView>
  </sheetViews>
  <sheetFormatPr defaultColWidth="9.140625" defaultRowHeight="15.75" x14ac:dyDescent="0.25"/>
  <cols>
    <col min="1" max="1" width="15.5703125" style="159" hidden="1" customWidth="1"/>
    <col min="2" max="2" width="2.28515625" style="159" customWidth="1"/>
    <col min="3" max="3" width="13.5703125" style="159" customWidth="1"/>
    <col min="4" max="4" width="51.140625" style="159" customWidth="1"/>
    <col min="5" max="5" width="22.85546875" style="160" customWidth="1"/>
    <col min="6" max="6" width="24.5703125" style="159" customWidth="1"/>
    <col min="7" max="7" width="18.28515625" style="159" bestFit="1" customWidth="1"/>
    <col min="8" max="8" width="18.85546875" style="159" customWidth="1"/>
    <col min="9" max="9" width="16.28515625" style="159" customWidth="1"/>
    <col min="10" max="10" width="33.28515625" style="152" customWidth="1"/>
    <col min="11" max="11" width="15.5703125" style="159" customWidth="1"/>
    <col min="12" max="13" width="16.42578125" style="159" customWidth="1"/>
    <col min="14" max="14" width="19.42578125" style="159" customWidth="1"/>
    <col min="15" max="15" width="16.28515625" style="159" customWidth="1"/>
    <col min="16" max="16" width="17.140625" style="159" customWidth="1"/>
    <col min="17" max="17" width="13.42578125" style="159" bestFit="1" customWidth="1"/>
    <col min="18" max="19" width="14.42578125" style="159" bestFit="1" customWidth="1"/>
    <col min="20" max="20" width="13.85546875" style="159" bestFit="1" customWidth="1"/>
    <col min="21" max="16384" width="9.140625" style="159"/>
  </cols>
  <sheetData>
    <row r="1" spans="2:19" x14ac:dyDescent="0.25">
      <c r="B1" s="169" t="s">
        <v>211</v>
      </c>
    </row>
    <row r="2" spans="2:19" s="169" customFormat="1" x14ac:dyDescent="0.25">
      <c r="B2" s="169" t="s">
        <v>1</v>
      </c>
      <c r="E2" s="168"/>
      <c r="I2" s="170"/>
      <c r="J2" s="164"/>
    </row>
    <row r="3" spans="2:19" s="169" customFormat="1" x14ac:dyDescent="0.25">
      <c r="B3" s="169" t="s">
        <v>254</v>
      </c>
      <c r="E3" s="168"/>
      <c r="I3" s="170"/>
      <c r="J3" s="164"/>
    </row>
    <row r="4" spans="2:19" x14ac:dyDescent="0.25">
      <c r="B4" s="169" t="s">
        <v>212</v>
      </c>
      <c r="I4" s="171"/>
    </row>
    <row r="5" spans="2:19" x14ac:dyDescent="0.25">
      <c r="I5" s="171"/>
    </row>
    <row r="6" spans="2:19" s="169" customFormat="1" ht="16.5" customHeight="1" x14ac:dyDescent="0.25">
      <c r="B6" s="379" t="s">
        <v>3</v>
      </c>
      <c r="C6" s="379"/>
      <c r="D6" s="379"/>
      <c r="E6" s="380" t="s">
        <v>4</v>
      </c>
      <c r="F6" s="379" t="s">
        <v>5</v>
      </c>
      <c r="G6" s="379"/>
      <c r="H6" s="379"/>
      <c r="I6" s="379"/>
      <c r="J6" s="379"/>
      <c r="K6" s="379"/>
      <c r="L6" s="379"/>
      <c r="M6" s="379"/>
      <c r="N6" s="379"/>
      <c r="O6" s="381" t="s">
        <v>213</v>
      </c>
      <c r="P6" s="382"/>
    </row>
    <row r="7" spans="2:19" s="169" customFormat="1" x14ac:dyDescent="0.25">
      <c r="B7" s="379"/>
      <c r="C7" s="379"/>
      <c r="D7" s="379"/>
      <c r="E7" s="380"/>
      <c r="F7" s="387" t="s">
        <v>7</v>
      </c>
      <c r="G7" s="388"/>
      <c r="H7" s="388"/>
      <c r="I7" s="389"/>
      <c r="J7" s="379" t="s">
        <v>8</v>
      </c>
      <c r="K7" s="379"/>
      <c r="L7" s="379"/>
      <c r="M7" s="379"/>
      <c r="N7" s="379"/>
      <c r="O7" s="383"/>
      <c r="P7" s="384"/>
    </row>
    <row r="8" spans="2:19" s="164" customFormat="1" ht="31.5" x14ac:dyDescent="0.25">
      <c r="B8" s="379"/>
      <c r="C8" s="379"/>
      <c r="D8" s="379"/>
      <c r="E8" s="380"/>
      <c r="F8" s="163" t="s">
        <v>9</v>
      </c>
      <c r="G8" s="163" t="s">
        <v>10</v>
      </c>
      <c r="H8" s="163" t="s">
        <v>11</v>
      </c>
      <c r="I8" s="163" t="s">
        <v>12</v>
      </c>
      <c r="J8" s="163" t="s">
        <v>9</v>
      </c>
      <c r="K8" s="163" t="s">
        <v>10</v>
      </c>
      <c r="L8" s="163" t="s">
        <v>11</v>
      </c>
      <c r="M8" s="163" t="s">
        <v>13</v>
      </c>
      <c r="N8" s="163" t="s">
        <v>14</v>
      </c>
      <c r="O8" s="385"/>
      <c r="P8" s="386"/>
    </row>
    <row r="9" spans="2:19" x14ac:dyDescent="0.25">
      <c r="B9" s="375" t="s">
        <v>235</v>
      </c>
      <c r="C9" s="376"/>
      <c r="D9" s="377"/>
      <c r="E9" s="155">
        <v>6701497.0099999998</v>
      </c>
      <c r="F9" s="156"/>
      <c r="G9" s="156"/>
      <c r="H9" s="156"/>
      <c r="I9" s="156"/>
      <c r="J9" s="218"/>
      <c r="K9" s="156"/>
      <c r="L9" s="156"/>
      <c r="M9" s="156"/>
      <c r="N9" s="156"/>
      <c r="O9" s="156"/>
      <c r="P9" s="156"/>
    </row>
    <row r="10" spans="2:19" x14ac:dyDescent="0.25">
      <c r="B10" s="153"/>
      <c r="C10" s="154"/>
      <c r="D10" s="85"/>
      <c r="E10" s="155"/>
      <c r="F10" s="156"/>
      <c r="G10" s="156"/>
      <c r="H10" s="156"/>
      <c r="I10" s="156"/>
      <c r="J10" s="158"/>
      <c r="K10" s="155"/>
      <c r="L10" s="155"/>
      <c r="M10" s="155"/>
      <c r="N10" s="155"/>
      <c r="O10" s="155"/>
      <c r="P10" s="155"/>
      <c r="Q10" s="160"/>
      <c r="R10" s="160"/>
      <c r="S10" s="160"/>
    </row>
    <row r="11" spans="2:19" hidden="1" x14ac:dyDescent="0.25">
      <c r="B11" s="153"/>
      <c r="C11" s="154" t="s">
        <v>16</v>
      </c>
      <c r="D11" s="85"/>
      <c r="E11" s="155">
        <f>SUM(E12:E16)</f>
        <v>0</v>
      </c>
      <c r="F11" s="155"/>
      <c r="G11" s="155">
        <f>SUM(G12:G16)</f>
        <v>0</v>
      </c>
      <c r="H11" s="155">
        <f>SUM(H12:H16)</f>
        <v>0</v>
      </c>
      <c r="I11" s="155">
        <f>SUM(I12:I16)</f>
        <v>0</v>
      </c>
      <c r="J11" s="158"/>
      <c r="K11" s="155"/>
      <c r="L11" s="155"/>
      <c r="M11" s="155">
        <f>SUM(M13:M16)</f>
        <v>0</v>
      </c>
      <c r="N11" s="155">
        <f>SUM(N13:N16)</f>
        <v>0</v>
      </c>
      <c r="O11" s="155"/>
      <c r="P11" s="155"/>
      <c r="Q11" s="160"/>
      <c r="R11" s="160"/>
      <c r="S11" s="160"/>
    </row>
    <row r="12" spans="2:19" s="177" customFormat="1" hidden="1" x14ac:dyDescent="0.25">
      <c r="B12" s="172"/>
      <c r="C12" s="173"/>
      <c r="D12" s="174" t="s">
        <v>17</v>
      </c>
      <c r="E12" s="175"/>
      <c r="F12" s="175"/>
      <c r="G12" s="175"/>
      <c r="H12" s="175"/>
      <c r="I12" s="175"/>
      <c r="J12" s="219"/>
      <c r="K12" s="175"/>
      <c r="L12" s="175"/>
      <c r="M12" s="175"/>
      <c r="N12" s="175"/>
      <c r="O12" s="175"/>
      <c r="P12" s="175"/>
      <c r="Q12" s="176"/>
      <c r="R12" s="176"/>
      <c r="S12" s="176"/>
    </row>
    <row r="13" spans="2:19" ht="24" hidden="1" customHeight="1" x14ac:dyDescent="0.25">
      <c r="B13" s="153"/>
      <c r="C13" s="154"/>
      <c r="D13" s="85" t="s">
        <v>214</v>
      </c>
      <c r="E13" s="155"/>
      <c r="F13" s="155" t="s">
        <v>19</v>
      </c>
      <c r="G13" s="155"/>
      <c r="H13" s="155"/>
      <c r="I13" s="155"/>
      <c r="J13" s="158" t="s">
        <v>215</v>
      </c>
      <c r="K13" s="155"/>
      <c r="L13" s="155"/>
      <c r="M13" s="155"/>
      <c r="N13" s="155"/>
      <c r="O13" s="155"/>
      <c r="P13" s="155"/>
      <c r="Q13" s="160"/>
      <c r="R13" s="160"/>
      <c r="S13" s="160"/>
    </row>
    <row r="14" spans="2:19" ht="24" hidden="1" customHeight="1" x14ac:dyDescent="0.25">
      <c r="B14" s="153"/>
      <c r="C14" s="154"/>
      <c r="D14" s="85" t="s">
        <v>216</v>
      </c>
      <c r="E14" s="155"/>
      <c r="F14" s="155" t="s">
        <v>19</v>
      </c>
      <c r="G14" s="155"/>
      <c r="H14" s="155"/>
      <c r="I14" s="155"/>
      <c r="J14" s="158" t="s">
        <v>215</v>
      </c>
      <c r="K14" s="155"/>
      <c r="L14" s="155"/>
      <c r="M14" s="155"/>
      <c r="N14" s="155"/>
      <c r="O14" s="155"/>
      <c r="P14" s="155"/>
      <c r="Q14" s="160"/>
      <c r="R14" s="160"/>
      <c r="S14" s="160"/>
    </row>
    <row r="15" spans="2:19" s="177" customFormat="1" hidden="1" x14ac:dyDescent="0.25">
      <c r="B15" s="172"/>
      <c r="C15" s="173"/>
      <c r="D15" s="174" t="s">
        <v>181</v>
      </c>
      <c r="E15" s="175"/>
      <c r="F15" s="175"/>
      <c r="G15" s="175"/>
      <c r="H15" s="175"/>
      <c r="I15" s="175"/>
      <c r="J15" s="219"/>
      <c r="K15" s="175"/>
      <c r="L15" s="175"/>
      <c r="M15" s="175"/>
      <c r="N15" s="175"/>
      <c r="O15" s="175"/>
      <c r="P15" s="175"/>
      <c r="Q15" s="176"/>
      <c r="R15" s="176"/>
      <c r="S15" s="176"/>
    </row>
    <row r="16" spans="2:19" hidden="1" x14ac:dyDescent="0.25">
      <c r="B16" s="153"/>
      <c r="C16" s="154"/>
      <c r="D16" s="85" t="s">
        <v>217</v>
      </c>
      <c r="E16" s="155"/>
      <c r="F16" s="155" t="s">
        <v>19</v>
      </c>
      <c r="G16" s="155"/>
      <c r="H16" s="155"/>
      <c r="I16" s="155"/>
      <c r="J16" s="158" t="s">
        <v>215</v>
      </c>
      <c r="K16" s="155"/>
      <c r="L16" s="155"/>
      <c r="M16" s="155"/>
      <c r="N16" s="155"/>
      <c r="O16" s="155"/>
      <c r="P16" s="155"/>
      <c r="Q16" s="160"/>
      <c r="R16" s="160"/>
      <c r="S16" s="160"/>
    </row>
    <row r="17" spans="2:19" ht="27.75" customHeight="1" x14ac:dyDescent="0.25">
      <c r="B17" s="153"/>
      <c r="C17" s="165" t="s">
        <v>23</v>
      </c>
      <c r="D17" s="85"/>
      <c r="E17" s="155">
        <f>SUM(E19:E37)</f>
        <v>3300</v>
      </c>
      <c r="F17" s="155"/>
      <c r="G17" s="155">
        <f>SUM(G21:G35)</f>
        <v>900</v>
      </c>
      <c r="H17" s="155"/>
      <c r="I17" s="155">
        <f>SUM(I19:I37)</f>
        <v>-900</v>
      </c>
      <c r="J17" s="158"/>
      <c r="K17" s="155"/>
      <c r="L17" s="155"/>
      <c r="M17" s="155"/>
      <c r="N17" s="155">
        <f>SUM(N19:N37)</f>
        <v>-3300</v>
      </c>
      <c r="O17" s="155"/>
      <c r="P17" s="155"/>
      <c r="Q17" s="160"/>
      <c r="R17" s="160"/>
      <c r="S17" s="160"/>
    </row>
    <row r="18" spans="2:19" ht="32.25" customHeight="1" x14ac:dyDescent="0.25">
      <c r="B18" s="153"/>
      <c r="C18" s="206" t="s">
        <v>244</v>
      </c>
      <c r="D18" s="178" t="s">
        <v>71</v>
      </c>
      <c r="E18" s="155"/>
      <c r="F18" s="155"/>
      <c r="G18" s="155"/>
      <c r="H18" s="155"/>
      <c r="I18" s="155"/>
      <c r="J18" s="158"/>
      <c r="K18" s="155"/>
      <c r="L18" s="155"/>
      <c r="M18" s="155"/>
      <c r="N18" s="155"/>
      <c r="O18" s="155"/>
      <c r="P18" s="155"/>
      <c r="Q18" s="160"/>
      <c r="R18" s="160"/>
      <c r="S18" s="160"/>
    </row>
    <row r="19" spans="2:19" ht="32.25" customHeight="1" x14ac:dyDescent="0.25">
      <c r="B19" s="153"/>
      <c r="C19" s="154"/>
      <c r="D19" s="85" t="s">
        <v>218</v>
      </c>
      <c r="E19" s="155"/>
      <c r="F19" s="155" t="s">
        <v>219</v>
      </c>
      <c r="G19" s="155"/>
      <c r="H19" s="155"/>
      <c r="I19" s="155">
        <f>H19</f>
        <v>0</v>
      </c>
      <c r="J19" s="220" t="s">
        <v>220</v>
      </c>
      <c r="K19" s="155"/>
      <c r="L19" s="155"/>
      <c r="M19" s="155"/>
      <c r="N19" s="155"/>
      <c r="O19" s="155"/>
      <c r="P19" s="155"/>
      <c r="Q19" s="160"/>
      <c r="R19" s="160"/>
      <c r="S19" s="160"/>
    </row>
    <row r="20" spans="2:19" s="177" customFormat="1" ht="32.25" customHeight="1" x14ac:dyDescent="0.25">
      <c r="B20" s="172"/>
      <c r="C20" s="173"/>
      <c r="D20" s="178" t="s">
        <v>24</v>
      </c>
      <c r="E20" s="175"/>
      <c r="F20" s="175"/>
      <c r="G20" s="175"/>
      <c r="H20" s="175"/>
      <c r="I20" s="175"/>
      <c r="J20" s="219"/>
      <c r="K20" s="175"/>
      <c r="L20" s="175"/>
      <c r="M20" s="175"/>
      <c r="N20" s="175"/>
      <c r="O20" s="175"/>
      <c r="P20" s="175"/>
      <c r="Q20" s="176"/>
      <c r="R20" s="176"/>
      <c r="S20" s="176"/>
    </row>
    <row r="21" spans="2:19" x14ac:dyDescent="0.25">
      <c r="B21" s="153"/>
      <c r="C21" s="154"/>
      <c r="D21" s="85" t="s">
        <v>53</v>
      </c>
      <c r="E21" s="155">
        <f>-'[17]FC7 TF JEV'!$H$167</f>
        <v>-900</v>
      </c>
      <c r="F21" s="233" t="s">
        <v>53</v>
      </c>
      <c r="G21" s="155">
        <v>900</v>
      </c>
      <c r="H21" s="155"/>
      <c r="I21" s="155">
        <f>E21</f>
        <v>-900</v>
      </c>
      <c r="J21" s="158" t="s">
        <v>237</v>
      </c>
      <c r="K21" s="155"/>
      <c r="L21" s="155">
        <f>G21</f>
        <v>900</v>
      </c>
      <c r="M21" s="155"/>
      <c r="N21" s="155">
        <f>L21</f>
        <v>900</v>
      </c>
      <c r="O21" s="155"/>
      <c r="P21" s="155"/>
      <c r="Q21" s="160"/>
      <c r="R21" s="160"/>
      <c r="S21" s="160"/>
    </row>
    <row r="22" spans="2:19" ht="32.25" customHeight="1" x14ac:dyDescent="0.25">
      <c r="B22" s="153"/>
      <c r="C22" s="154"/>
      <c r="D22" s="85" t="s">
        <v>74</v>
      </c>
      <c r="E22" s="155"/>
      <c r="F22" s="85" t="s">
        <v>219</v>
      </c>
      <c r="G22" s="155">
        <f>E22</f>
        <v>0</v>
      </c>
      <c r="H22" s="155"/>
      <c r="I22" s="155">
        <f>G22</f>
        <v>0</v>
      </c>
      <c r="J22" s="158" t="s">
        <v>221</v>
      </c>
      <c r="K22" s="155"/>
      <c r="L22" s="155"/>
      <c r="M22" s="155"/>
      <c r="N22" s="155"/>
      <c r="O22" s="155"/>
      <c r="P22" s="155"/>
      <c r="Q22" s="160"/>
      <c r="R22" s="160" t="s">
        <v>222</v>
      </c>
      <c r="S22" s="160"/>
    </row>
    <row r="23" spans="2:19" x14ac:dyDescent="0.25">
      <c r="B23" s="153"/>
      <c r="C23" s="154"/>
      <c r="D23" s="85" t="s">
        <v>34</v>
      </c>
      <c r="E23" s="155"/>
      <c r="F23" s="85" t="s">
        <v>34</v>
      </c>
      <c r="G23" s="155"/>
      <c r="H23" s="155"/>
      <c r="I23" s="155"/>
      <c r="J23" s="158" t="s">
        <v>223</v>
      </c>
      <c r="K23" s="155"/>
      <c r="L23" s="155"/>
      <c r="M23" s="155"/>
      <c r="N23" s="155"/>
      <c r="O23" s="155"/>
      <c r="P23" s="155"/>
      <c r="Q23" s="160"/>
      <c r="R23" s="160"/>
      <c r="S23" s="160"/>
    </row>
    <row r="24" spans="2:19" x14ac:dyDescent="0.25">
      <c r="B24" s="153"/>
      <c r="C24" s="154"/>
      <c r="D24" s="85" t="s">
        <v>43</v>
      </c>
      <c r="E24" s="155"/>
      <c r="F24" s="179" t="s">
        <v>43</v>
      </c>
      <c r="G24" s="157"/>
      <c r="H24" s="155"/>
      <c r="I24" s="155"/>
      <c r="J24" s="158" t="s">
        <v>25</v>
      </c>
      <c r="K24" s="155"/>
      <c r="L24" s="155"/>
      <c r="M24" s="155"/>
      <c r="N24" s="155"/>
      <c r="O24" s="155"/>
      <c r="P24" s="155"/>
      <c r="Q24" s="160"/>
      <c r="R24" s="160"/>
      <c r="S24" s="160"/>
    </row>
    <row r="25" spans="2:19" ht="32.25" customHeight="1" x14ac:dyDescent="0.25">
      <c r="B25" s="153"/>
      <c r="C25" s="154"/>
      <c r="D25" s="180" t="s">
        <v>29</v>
      </c>
      <c r="E25" s="155"/>
      <c r="F25" s="179" t="s">
        <v>29</v>
      </c>
      <c r="G25" s="181"/>
      <c r="H25" s="155"/>
      <c r="I25" s="155">
        <f>H25</f>
        <v>0</v>
      </c>
      <c r="J25" s="158" t="s">
        <v>221</v>
      </c>
      <c r="K25" s="155"/>
      <c r="L25" s="155"/>
      <c r="M25" s="155"/>
      <c r="N25" s="155"/>
      <c r="O25" s="155"/>
      <c r="P25" s="155"/>
      <c r="Q25" s="160"/>
      <c r="R25" s="160"/>
      <c r="S25" s="160"/>
    </row>
    <row r="26" spans="2:19" x14ac:dyDescent="0.25">
      <c r="B26" s="153"/>
      <c r="C26" s="154"/>
      <c r="D26" s="85" t="s">
        <v>224</v>
      </c>
      <c r="E26" s="155"/>
      <c r="F26" s="156" t="s">
        <v>225</v>
      </c>
      <c r="G26" s="157"/>
      <c r="H26" s="155"/>
      <c r="I26" s="155"/>
      <c r="J26" s="158" t="s">
        <v>226</v>
      </c>
      <c r="K26" s="155"/>
      <c r="L26" s="155"/>
      <c r="M26" s="155"/>
      <c r="N26" s="155"/>
      <c r="O26" s="155"/>
      <c r="P26" s="155"/>
      <c r="Q26" s="160"/>
      <c r="R26" s="160"/>
      <c r="S26" s="160"/>
    </row>
    <row r="27" spans="2:19" s="177" customFormat="1" x14ac:dyDescent="0.25">
      <c r="B27" s="172"/>
      <c r="C27" s="173"/>
      <c r="D27" s="174"/>
      <c r="E27" s="175"/>
      <c r="F27" s="175"/>
      <c r="G27" s="182"/>
      <c r="H27" s="175"/>
      <c r="I27" s="175"/>
      <c r="J27" s="219"/>
      <c r="K27" s="175"/>
      <c r="L27" s="175"/>
      <c r="M27" s="175"/>
      <c r="N27" s="155"/>
      <c r="O27" s="175"/>
      <c r="P27" s="175"/>
      <c r="Q27" s="176"/>
      <c r="R27" s="176"/>
      <c r="S27" s="176"/>
    </row>
    <row r="28" spans="2:19" x14ac:dyDescent="0.25">
      <c r="B28" s="153"/>
      <c r="C28" s="154"/>
      <c r="D28" s="85"/>
      <c r="E28" s="155"/>
      <c r="F28" s="156" t="s">
        <v>80</v>
      </c>
      <c r="G28" s="157"/>
      <c r="H28" s="155"/>
      <c r="I28" s="155"/>
      <c r="J28" s="158" t="s">
        <v>25</v>
      </c>
      <c r="K28" s="155"/>
      <c r="L28" s="155"/>
      <c r="M28" s="155"/>
      <c r="N28" s="155"/>
      <c r="O28" s="155"/>
      <c r="P28" s="155"/>
      <c r="Q28" s="160"/>
      <c r="R28" s="160"/>
      <c r="S28" s="160"/>
    </row>
    <row r="29" spans="2:19" s="177" customFormat="1" ht="32.25" customHeight="1" x14ac:dyDescent="0.25">
      <c r="B29" s="172"/>
      <c r="C29" s="173"/>
      <c r="D29" s="165" t="s">
        <v>227</v>
      </c>
      <c r="E29" s="175"/>
      <c r="F29" s="175"/>
      <c r="G29" s="175"/>
      <c r="H29" s="175"/>
      <c r="I29" s="175"/>
      <c r="J29" s="219"/>
      <c r="K29" s="175"/>
      <c r="L29" s="175"/>
      <c r="M29" s="175"/>
      <c r="N29" s="175"/>
      <c r="O29" s="175"/>
      <c r="P29" s="175"/>
      <c r="Q29" s="176"/>
      <c r="R29" s="176"/>
      <c r="S29" s="176"/>
    </row>
    <row r="30" spans="2:19" x14ac:dyDescent="0.25">
      <c r="B30" s="153"/>
      <c r="C30" s="154"/>
      <c r="D30" s="85" t="s">
        <v>228</v>
      </c>
      <c r="E30" s="155"/>
      <c r="F30" s="155" t="s">
        <v>34</v>
      </c>
      <c r="G30" s="155"/>
      <c r="H30" s="155"/>
      <c r="I30" s="155"/>
      <c r="J30" s="158" t="s">
        <v>229</v>
      </c>
      <c r="K30" s="155"/>
      <c r="L30" s="155"/>
      <c r="M30" s="155"/>
      <c r="N30" s="155"/>
      <c r="O30" s="155"/>
      <c r="P30" s="155"/>
      <c r="Q30" s="160"/>
      <c r="R30" s="160"/>
      <c r="S30" s="160"/>
    </row>
    <row r="31" spans="2:19" x14ac:dyDescent="0.25">
      <c r="B31" s="153"/>
      <c r="C31" s="154"/>
      <c r="D31" s="85" t="s">
        <v>96</v>
      </c>
      <c r="E31" s="155"/>
      <c r="F31" s="155" t="s">
        <v>34</v>
      </c>
      <c r="G31" s="155"/>
      <c r="H31" s="155"/>
      <c r="I31" s="155">
        <f>H31</f>
        <v>0</v>
      </c>
      <c r="J31" s="158" t="s">
        <v>97</v>
      </c>
      <c r="K31" s="155"/>
      <c r="L31" s="155"/>
      <c r="M31" s="155"/>
      <c r="N31" s="155"/>
      <c r="O31" s="155"/>
      <c r="P31" s="155"/>
      <c r="Q31" s="160"/>
      <c r="R31" s="160"/>
      <c r="S31" s="160"/>
    </row>
    <row r="32" spans="2:19" ht="32.25" customHeight="1" x14ac:dyDescent="0.25">
      <c r="B32" s="153"/>
      <c r="C32" s="154"/>
      <c r="D32" s="85" t="s">
        <v>230</v>
      </c>
      <c r="E32" s="155"/>
      <c r="F32" s="155" t="s">
        <v>34</v>
      </c>
      <c r="G32" s="155"/>
      <c r="H32" s="155"/>
      <c r="I32" s="155">
        <f>H32</f>
        <v>0</v>
      </c>
      <c r="J32" s="158" t="s">
        <v>229</v>
      </c>
      <c r="K32" s="155"/>
      <c r="L32" s="155"/>
      <c r="M32" s="155"/>
      <c r="N32" s="155"/>
      <c r="O32" s="155"/>
      <c r="P32" s="155"/>
      <c r="Q32" s="160"/>
      <c r="R32" s="160"/>
      <c r="S32" s="160"/>
    </row>
    <row r="33" spans="2:20" x14ac:dyDescent="0.25">
      <c r="B33" s="153"/>
      <c r="C33" s="154"/>
      <c r="D33" s="85" t="s">
        <v>96</v>
      </c>
      <c r="E33" s="155"/>
      <c r="F33" s="155" t="s">
        <v>34</v>
      </c>
      <c r="G33" s="155"/>
      <c r="H33" s="155"/>
      <c r="I33" s="155">
        <f>G33*-1</f>
        <v>0</v>
      </c>
      <c r="J33" s="158" t="s">
        <v>97</v>
      </c>
      <c r="K33" s="155"/>
      <c r="L33" s="155"/>
      <c r="M33" s="155"/>
      <c r="N33" s="155">
        <f>L33</f>
        <v>0</v>
      </c>
      <c r="O33" s="155"/>
      <c r="P33" s="155"/>
      <c r="Q33" s="160"/>
      <c r="R33" s="160"/>
      <c r="S33" s="160"/>
    </row>
    <row r="34" spans="2:20" x14ac:dyDescent="0.25">
      <c r="B34" s="153"/>
      <c r="C34" s="154"/>
      <c r="D34" s="85" t="s">
        <v>231</v>
      </c>
      <c r="E34" s="155"/>
      <c r="F34" s="155" t="s">
        <v>34</v>
      </c>
      <c r="G34" s="155"/>
      <c r="H34" s="155"/>
      <c r="I34" s="155"/>
      <c r="J34" s="158" t="s">
        <v>91</v>
      </c>
      <c r="K34" s="155"/>
      <c r="L34" s="155"/>
      <c r="M34" s="155"/>
      <c r="N34" s="155"/>
      <c r="O34" s="155"/>
      <c r="P34" s="155"/>
      <c r="Q34" s="160"/>
      <c r="R34" s="160"/>
      <c r="S34" s="160"/>
    </row>
    <row r="35" spans="2:20" x14ac:dyDescent="0.25">
      <c r="B35" s="153"/>
      <c r="C35" s="154"/>
      <c r="D35" s="232" t="s">
        <v>248</v>
      </c>
      <c r="E35" s="155"/>
      <c r="F35" s="155"/>
      <c r="G35" s="155"/>
      <c r="H35" s="155"/>
      <c r="I35" s="155"/>
      <c r="J35" s="158"/>
      <c r="K35" s="155"/>
      <c r="L35" s="155"/>
      <c r="M35" s="155"/>
      <c r="N35" s="155"/>
      <c r="O35" s="155"/>
      <c r="P35" s="155"/>
      <c r="Q35" s="160"/>
      <c r="R35" s="160"/>
      <c r="S35" s="160"/>
    </row>
    <row r="36" spans="2:20" x14ac:dyDescent="0.25">
      <c r="B36" s="153"/>
      <c r="C36" s="154"/>
      <c r="D36" s="85" t="s">
        <v>249</v>
      </c>
      <c r="E36" s="155">
        <f>'[17]FC7 TF JEV'!$I$145</f>
        <v>4200</v>
      </c>
      <c r="F36" s="155"/>
      <c r="G36" s="155"/>
      <c r="H36" s="155"/>
      <c r="I36" s="155"/>
      <c r="J36" s="158" t="s">
        <v>237</v>
      </c>
      <c r="K36" s="155">
        <f>E36</f>
        <v>4200</v>
      </c>
      <c r="L36" s="155"/>
      <c r="M36" s="155"/>
      <c r="N36" s="155">
        <f>-K36</f>
        <v>-4200</v>
      </c>
      <c r="O36" s="155">
        <f>E36</f>
        <v>4200</v>
      </c>
      <c r="P36" s="155"/>
      <c r="Q36" s="160"/>
      <c r="R36" s="160"/>
      <c r="S36" s="160"/>
    </row>
    <row r="37" spans="2:20" x14ac:dyDescent="0.25">
      <c r="B37" s="153"/>
      <c r="C37" s="154"/>
      <c r="D37" s="183"/>
      <c r="E37" s="155"/>
      <c r="F37" s="155"/>
      <c r="G37" s="155"/>
      <c r="H37" s="155"/>
      <c r="I37" s="155"/>
      <c r="J37" s="158"/>
      <c r="K37" s="155"/>
      <c r="L37" s="155"/>
      <c r="M37" s="155"/>
      <c r="N37" s="155"/>
      <c r="O37" s="155"/>
      <c r="P37" s="155"/>
      <c r="Q37" s="160"/>
      <c r="R37" s="160"/>
      <c r="S37" s="160"/>
    </row>
    <row r="38" spans="2:20" s="169" customFormat="1" ht="32.25" customHeight="1" x14ac:dyDescent="0.25">
      <c r="B38" s="130" t="s">
        <v>236</v>
      </c>
      <c r="C38" s="165"/>
      <c r="D38" s="166"/>
      <c r="E38" s="167">
        <f>E9+E11+E17</f>
        <v>6704797.0099999998</v>
      </c>
      <c r="F38" s="167">
        <f>SUM(F9:F31)</f>
        <v>0</v>
      </c>
      <c r="G38" s="167"/>
      <c r="H38" s="167"/>
      <c r="I38" s="167">
        <f>SUM(I17+I11)</f>
        <v>-900</v>
      </c>
      <c r="J38" s="207">
        <f>SUM(J9:J31)</f>
        <v>0</v>
      </c>
      <c r="K38" s="167"/>
      <c r="L38" s="167"/>
      <c r="M38" s="167">
        <f>M17+M11</f>
        <v>0</v>
      </c>
      <c r="N38" s="167">
        <f>N17+N11</f>
        <v>-3300</v>
      </c>
      <c r="O38" s="167">
        <f>SUM(O9:O37)</f>
        <v>4200</v>
      </c>
      <c r="P38" s="167">
        <f>SUM(P9:P31)</f>
        <v>0</v>
      </c>
      <c r="Q38" s="168"/>
      <c r="R38" s="168"/>
      <c r="S38" s="168"/>
    </row>
    <row r="39" spans="2:20" x14ac:dyDescent="0.25">
      <c r="B39" s="177"/>
      <c r="E39" s="160">
        <f>E38-[31]TB!$Y$104</f>
        <v>0</v>
      </c>
      <c r="F39" s="184"/>
      <c r="I39" s="171">
        <f>G38-H38</f>
        <v>0</v>
      </c>
      <c r="J39" s="221"/>
      <c r="K39" s="160"/>
      <c r="L39" s="160"/>
      <c r="M39" s="160"/>
      <c r="N39" s="160"/>
      <c r="O39" s="160"/>
      <c r="P39" s="160"/>
      <c r="Q39" s="160"/>
      <c r="R39" s="160"/>
      <c r="S39" s="160"/>
    </row>
    <row r="40" spans="2:20" ht="24" customHeight="1" x14ac:dyDescent="0.25">
      <c r="B40" s="177"/>
      <c r="D40" s="159" t="s">
        <v>117</v>
      </c>
      <c r="I40" s="171"/>
      <c r="J40" s="152" t="s">
        <v>119</v>
      </c>
      <c r="K40" s="160"/>
      <c r="L40" s="160"/>
      <c r="M40" s="160"/>
      <c r="N40" s="171"/>
      <c r="O40" s="159" t="s">
        <v>120</v>
      </c>
      <c r="P40" s="160"/>
      <c r="Q40" s="160"/>
      <c r="R40" s="160"/>
      <c r="S40" s="160"/>
    </row>
    <row r="41" spans="2:20" ht="24" customHeight="1" x14ac:dyDescent="0.25">
      <c r="D41" s="152" t="s">
        <v>121</v>
      </c>
      <c r="E41" s="160">
        <f>E38</f>
        <v>6704797.0099999998</v>
      </c>
      <c r="I41" s="171"/>
      <c r="J41" s="221"/>
      <c r="K41" s="160" t="s">
        <v>122</v>
      </c>
      <c r="M41" s="160">
        <f>M38</f>
        <v>0</v>
      </c>
      <c r="N41" s="160"/>
      <c r="O41" s="160"/>
      <c r="P41" s="160"/>
      <c r="Q41" s="160"/>
      <c r="R41" s="160"/>
      <c r="S41" s="160"/>
    </row>
    <row r="42" spans="2:20" ht="24" customHeight="1" x14ac:dyDescent="0.25">
      <c r="D42" s="152" t="s">
        <v>123</v>
      </c>
      <c r="E42" s="185">
        <f>E9</f>
        <v>6701497.0099999998</v>
      </c>
      <c r="J42" s="221"/>
      <c r="K42" s="160" t="s">
        <v>124</v>
      </c>
      <c r="M42" s="185">
        <f>N38</f>
        <v>-3300</v>
      </c>
      <c r="N42" s="160"/>
      <c r="O42" s="160"/>
      <c r="P42" s="160"/>
      <c r="Q42" s="160"/>
      <c r="R42" s="160"/>
      <c r="S42" s="160"/>
    </row>
    <row r="43" spans="2:20" ht="24" customHeight="1" x14ac:dyDescent="0.25">
      <c r="D43" s="152" t="s">
        <v>125</v>
      </c>
      <c r="E43" s="168">
        <f>+E41-E42</f>
        <v>3300</v>
      </c>
      <c r="I43" s="170"/>
      <c r="J43" s="221"/>
      <c r="K43" s="160" t="s">
        <v>127</v>
      </c>
      <c r="M43" s="168">
        <f>M41-M42</f>
        <v>3300</v>
      </c>
      <c r="N43" s="160"/>
      <c r="O43" s="160" t="s">
        <v>127</v>
      </c>
      <c r="P43" s="168">
        <f>O38</f>
        <v>4200</v>
      </c>
      <c r="Q43" s="160"/>
      <c r="R43" s="160"/>
      <c r="S43" s="160"/>
    </row>
    <row r="44" spans="2:20" x14ac:dyDescent="0.25">
      <c r="I44" s="171"/>
      <c r="J44" s="221"/>
      <c r="K44" s="160" t="s">
        <v>128</v>
      </c>
      <c r="L44" s="160"/>
      <c r="M44" s="160"/>
      <c r="N44" s="168">
        <f>M41-M42</f>
        <v>3300</v>
      </c>
      <c r="O44" s="160"/>
      <c r="P44" s="160"/>
      <c r="Q44" s="160"/>
      <c r="R44" s="160"/>
      <c r="S44" s="160"/>
    </row>
    <row r="45" spans="2:20" x14ac:dyDescent="0.25">
      <c r="D45" s="171"/>
      <c r="E45" s="186"/>
      <c r="J45" s="221"/>
      <c r="K45" s="160"/>
      <c r="L45" s="160"/>
      <c r="M45" s="160"/>
      <c r="N45" s="160">
        <f>N44-E43</f>
        <v>0</v>
      </c>
      <c r="O45" s="160"/>
      <c r="P45" s="187"/>
      <c r="Q45" s="187"/>
      <c r="R45" s="187" t="s">
        <v>129</v>
      </c>
      <c r="S45" s="187" t="s">
        <v>130</v>
      </c>
      <c r="T45" s="188" t="s">
        <v>232</v>
      </c>
    </row>
    <row r="46" spans="2:20" x14ac:dyDescent="0.25">
      <c r="E46" s="189"/>
      <c r="J46" s="221"/>
      <c r="K46" s="160"/>
      <c r="L46" s="160"/>
      <c r="M46" s="160"/>
      <c r="N46" s="160"/>
      <c r="O46" s="160"/>
      <c r="P46" s="187" t="s">
        <v>233</v>
      </c>
      <c r="Q46" s="187">
        <f>-4074405.47</f>
        <v>-4074405.47</v>
      </c>
      <c r="R46" s="188"/>
      <c r="S46" s="187"/>
      <c r="T46" s="188"/>
    </row>
    <row r="47" spans="2:20" x14ac:dyDescent="0.25">
      <c r="D47" s="159" t="s">
        <v>131</v>
      </c>
      <c r="J47" s="221"/>
      <c r="K47" s="160" t="s">
        <v>132</v>
      </c>
      <c r="L47" s="160"/>
      <c r="M47" s="160"/>
      <c r="N47" s="160"/>
      <c r="O47" s="160"/>
      <c r="P47" s="187" t="s">
        <v>202</v>
      </c>
      <c r="Q47" s="187">
        <f>22029704.73-16100096.25</f>
        <v>5929608.4800000004</v>
      </c>
      <c r="R47" s="187">
        <v>-16100096.25</v>
      </c>
      <c r="S47" s="187">
        <v>0</v>
      </c>
      <c r="T47" s="187">
        <v>22029704.73</v>
      </c>
    </row>
    <row r="48" spans="2:20" x14ac:dyDescent="0.25">
      <c r="J48" s="221"/>
      <c r="K48" s="160"/>
      <c r="L48" s="160"/>
      <c r="M48" s="160"/>
      <c r="N48" s="160"/>
      <c r="O48" s="160"/>
      <c r="P48" s="187" t="s">
        <v>203</v>
      </c>
      <c r="Q48" s="187">
        <f>SUM(Q46:Q47)</f>
        <v>1855203.0100000002</v>
      </c>
      <c r="R48" s="187">
        <f>Q46+R47</f>
        <v>-20174501.719999999</v>
      </c>
      <c r="S48" s="187">
        <f>R48+S47</f>
        <v>-20174501.719999999</v>
      </c>
      <c r="T48" s="190">
        <f>S48+T47</f>
        <v>1855203.0100000016</v>
      </c>
    </row>
    <row r="49" spans="4:20" x14ac:dyDescent="0.25">
      <c r="J49" s="221"/>
      <c r="K49" s="160"/>
      <c r="L49" s="160"/>
      <c r="M49" s="160"/>
      <c r="N49" s="160"/>
      <c r="O49" s="160"/>
      <c r="P49" s="187"/>
      <c r="Q49" s="187"/>
      <c r="R49" s="187"/>
      <c r="S49" s="187"/>
      <c r="T49" s="188"/>
    </row>
    <row r="50" spans="4:20" ht="16.5" x14ac:dyDescent="0.25">
      <c r="D50" s="194" t="s">
        <v>234</v>
      </c>
      <c r="E50" s="191"/>
      <c r="F50" s="191"/>
      <c r="J50" s="222"/>
      <c r="K50" s="378" t="s">
        <v>133</v>
      </c>
      <c r="L50" s="378"/>
      <c r="M50" s="378"/>
      <c r="N50" s="192"/>
      <c r="O50" s="192"/>
      <c r="P50" s="193"/>
      <c r="Q50" s="187"/>
      <c r="R50" s="187"/>
      <c r="S50" s="187"/>
      <c r="T50" s="188"/>
    </row>
    <row r="51" spans="4:20" x14ac:dyDescent="0.25">
      <c r="D51" s="162" t="s">
        <v>134</v>
      </c>
      <c r="E51" s="162"/>
      <c r="F51" s="162"/>
      <c r="J51" s="221"/>
      <c r="K51" s="162" t="s">
        <v>135</v>
      </c>
      <c r="L51" s="162"/>
      <c r="M51" s="162"/>
      <c r="N51" s="160"/>
      <c r="O51" s="160"/>
      <c r="P51" s="160"/>
      <c r="Q51" s="160"/>
      <c r="R51" s="160"/>
      <c r="S51" s="160"/>
    </row>
    <row r="58" spans="4:20" x14ac:dyDescent="0.25">
      <c r="E58" s="159"/>
      <c r="J58" s="221"/>
    </row>
    <row r="59" spans="4:20" x14ac:dyDescent="0.25">
      <c r="E59" s="159"/>
      <c r="J59" s="221"/>
    </row>
    <row r="60" spans="4:20" x14ac:dyDescent="0.25">
      <c r="E60" s="159"/>
      <c r="J60" s="221"/>
    </row>
  </sheetData>
  <mergeCells count="8">
    <mergeCell ref="O6:P8"/>
    <mergeCell ref="F7:I7"/>
    <mergeCell ref="J7:N7"/>
    <mergeCell ref="B9:D9"/>
    <mergeCell ref="K50:M50"/>
    <mergeCell ref="B6:D8"/>
    <mergeCell ref="E6:E8"/>
    <mergeCell ref="F6:N6"/>
  </mergeCells>
  <pageMargins left="0.59055118110236227" right="0.59055118110236227" top="0.74803149606299213" bottom="0.74803149606299213" header="0.31496062992125984" footer="0.31496062992125984"/>
  <pageSetup paperSize="9" scale="42" fitToHeight="0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summary</vt:lpstr>
      <vt:lpstr>FC1 SEPTEMBER</vt:lpstr>
      <vt:lpstr>WORKING PAPER FC1</vt:lpstr>
      <vt:lpstr>FC2</vt:lpstr>
      <vt:lpstr>FC 3 SEPTEMBER </vt:lpstr>
      <vt:lpstr>FC 4 SEPTEMBER</vt:lpstr>
      <vt:lpstr>FC 6 SEPTEMBER</vt:lpstr>
      <vt:lpstr> FC 7 SEPTEMBER</vt:lpstr>
      <vt:lpstr> FC 7 </vt:lpstr>
      <vt:lpstr>' FC 7 '!Print_Area</vt:lpstr>
      <vt:lpstr>' FC 7 SEPTEMBER'!Print_Area</vt:lpstr>
      <vt:lpstr>'FC 3 SEPTEMBER '!Print_Area</vt:lpstr>
      <vt:lpstr>'FC 4 SEPTEMBER'!Print_Area</vt:lpstr>
      <vt:lpstr>'FC 6 SEPTEMBER'!Print_Area</vt:lpstr>
      <vt:lpstr>'FC1 SEPTEMBER'!Print_Area</vt:lpstr>
      <vt:lpstr>'FC2'!Print_Area</vt:lpstr>
      <vt:lpstr>'FC1 SEPTEMBER'!Print_Titles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Valene G. Miñoza</dc:creator>
  <cp:lastModifiedBy>Valene G. Miñoza</cp:lastModifiedBy>
  <cp:lastPrinted>2023-06-26T05:04:05Z</cp:lastPrinted>
  <dcterms:created xsi:type="dcterms:W3CDTF">2023-02-02T01:48:07Z</dcterms:created>
  <dcterms:modified xsi:type="dcterms:W3CDTF">2023-10-06T08:40:42Z</dcterms:modified>
</cp:coreProperties>
</file>